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24226"/>
  <mc:AlternateContent xmlns:mc="http://schemas.openxmlformats.org/markup-compatibility/2006">
    <mc:Choice Requires="x15">
      <x15ac:absPath xmlns:x15ac="http://schemas.microsoft.com/office/spreadsheetml/2010/11/ac" url="https://d.docs.live.net/abbf6fa2bc5e9d39/Escritorio/TELECAFE 2026 CONTROL INTERNO/3 INFORME PORMENORIZADO/2026/ENERO A JUNIO/"/>
    </mc:Choice>
  </mc:AlternateContent>
  <xr:revisionPtr revIDLastSave="2" documentId="8_{87DD94D4-9F06-4D95-B0F3-8560F607CBFE}" xr6:coauthVersionLast="47" xr6:coauthVersionMax="47" xr10:uidLastSave="{54806702-D9BA-442B-A8BB-B57284937D6B}"/>
  <bookViews>
    <workbookView xWindow="-120" yWindow="-120" windowWidth="20730" windowHeight="11040" firstSheet="1" activeTab="3" xr2:uid="{8CA9C5DB-62A6-494C-A9D5-EA9118E501B8}"/>
  </bookViews>
  <sheets>
    <sheet name="Instructivo" sheetId="2" r:id="rId1"/>
    <sheet name="Estado SCI" sheetId="1" r:id="rId2"/>
    <sheet name="Análisis Resultados" sheetId="3" r:id="rId3"/>
    <sheet name="Conclusión" sheetId="5" r:id="rId4"/>
    <sheet name="Hoja1" sheetId="6" state="hidden" r:id="rId5"/>
  </sheets>
  <externalReferences>
    <externalReference r:id="rId6"/>
  </externalReferences>
  <definedNames>
    <definedName name="_xlnm._FilterDatabase" localSheetId="4" hidden="1">Hoja1!$A$1:$K$45</definedName>
    <definedName name="_xlnm.Print_Titles" localSheetId="3">Conclusión!$24:$24</definedName>
    <definedName name="_xlnm.Print_Titles" localSheetId="1">'Estado SCI'!$14:$15</definedName>
  </definedNames>
  <calcPr calcId="191029"/>
</workbook>
</file>

<file path=xl/calcChain.xml><?xml version="1.0" encoding="utf-8"?>
<calcChain xmlns="http://schemas.openxmlformats.org/spreadsheetml/2006/main">
  <c r="J59" i="1" l="1"/>
  <c r="J58" i="1"/>
  <c r="J57" i="1"/>
  <c r="J56" i="1"/>
  <c r="J55" i="1"/>
  <c r="J54" i="1"/>
  <c r="J53" i="1"/>
  <c r="J52" i="1"/>
  <c r="J51" i="1"/>
  <c r="J5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A59" i="1" l="1"/>
  <c r="A58" i="1"/>
  <c r="A57" i="1"/>
  <c r="A56" i="1"/>
  <c r="A55" i="1"/>
  <c r="A54" i="1"/>
  <c r="A53" i="1"/>
  <c r="A52" i="1"/>
  <c r="A51" i="1"/>
  <c r="A50" i="1"/>
  <c r="A49" i="1"/>
  <c r="A48" i="1"/>
  <c r="A47" i="1"/>
  <c r="A46" i="1"/>
  <c r="A45" i="1"/>
  <c r="A44" i="1"/>
  <c r="A43" i="1"/>
  <c r="A42" i="1"/>
  <c r="A41" i="1"/>
  <c r="A40" i="1"/>
  <c r="A39" i="1"/>
  <c r="J37" i="1"/>
  <c r="L37" i="1" s="1"/>
  <c r="J36" i="1"/>
  <c r="L36" i="1" s="1"/>
  <c r="J35" i="1"/>
  <c r="L35" i="1" s="1"/>
  <c r="J34" i="1"/>
  <c r="L34" i="1" s="1"/>
  <c r="J33" i="1"/>
  <c r="L33" i="1" s="1"/>
  <c r="J32" i="1"/>
  <c r="L32" i="1" s="1"/>
  <c r="A38" i="1"/>
  <c r="A37" i="1"/>
  <c r="A36" i="1"/>
  <c r="A35" i="1"/>
  <c r="A34" i="1"/>
  <c r="A33" i="1"/>
  <c r="A32" i="1"/>
  <c r="L59" i="1"/>
  <c r="L58" i="1"/>
  <c r="L57" i="1"/>
  <c r="L56" i="1"/>
  <c r="L55" i="1"/>
  <c r="L54" i="1"/>
  <c r="L53" i="1"/>
  <c r="L52" i="1"/>
  <c r="L51" i="1"/>
  <c r="L50" i="1"/>
  <c r="J49" i="1"/>
  <c r="L49" i="1" s="1"/>
  <c r="J48" i="1"/>
  <c r="L48" i="1" s="1"/>
  <c r="J47" i="1"/>
  <c r="L47" i="1" s="1"/>
  <c r="J46" i="1"/>
  <c r="L46" i="1" s="1"/>
  <c r="J45" i="1"/>
  <c r="L45" i="1" s="1"/>
  <c r="J44" i="1"/>
  <c r="L44" i="1" s="1"/>
  <c r="J43" i="1"/>
  <c r="L43" i="1" s="1"/>
  <c r="J42" i="1"/>
  <c r="L42" i="1" s="1"/>
  <c r="J41" i="1"/>
  <c r="L41" i="1" s="1"/>
  <c r="J40" i="1"/>
  <c r="L40" i="1" s="1"/>
  <c r="J39" i="1"/>
  <c r="L39" i="1" s="1"/>
  <c r="J38" i="1"/>
  <c r="L38" i="1" s="1"/>
  <c r="J31" i="1"/>
  <c r="L31" i="1" s="1"/>
  <c r="J30" i="1"/>
  <c r="L30" i="1" s="1"/>
  <c r="J29" i="1"/>
  <c r="L29" i="1" s="1"/>
  <c r="J28" i="1"/>
  <c r="L28" i="1" s="1"/>
  <c r="J27" i="1"/>
  <c r="L27" i="1" s="1"/>
  <c r="J26" i="1"/>
  <c r="L26" i="1" s="1"/>
  <c r="J25" i="1"/>
  <c r="L25" i="1" s="1"/>
  <c r="J24" i="1"/>
  <c r="L24" i="1" s="1"/>
  <c r="J23" i="1"/>
  <c r="L23" i="1" s="1"/>
  <c r="J22" i="1"/>
  <c r="L22" i="1" s="1"/>
  <c r="J21" i="1"/>
  <c r="L21" i="1" s="1"/>
  <c r="J20" i="1"/>
  <c r="L20" i="1" s="1"/>
  <c r="J19" i="1"/>
  <c r="L19" i="1" s="1"/>
  <c r="J18" i="1"/>
  <c r="L18" i="1" s="1"/>
  <c r="J17" i="1"/>
  <c r="L17" i="1" s="1"/>
  <c r="J16" i="1"/>
  <c r="L16" i="1" s="1"/>
  <c r="A31" i="1" l="1"/>
  <c r="A30" i="1"/>
  <c r="A29" i="1"/>
  <c r="A28" i="1"/>
  <c r="A27" i="1"/>
  <c r="A26" i="1"/>
  <c r="A25" i="1"/>
  <c r="A24" i="1"/>
  <c r="A23" i="1"/>
  <c r="A22" i="1"/>
  <c r="A21" i="1"/>
  <c r="A20" i="1"/>
  <c r="A19" i="1"/>
  <c r="A18" i="1"/>
  <c r="A17" i="1"/>
  <c r="A16" i="1"/>
  <c r="I3" i="6" l="1"/>
  <c r="J3" i="6" s="1"/>
  <c r="I11" i="6"/>
  <c r="J11" i="6" s="1"/>
  <c r="I19" i="6"/>
  <c r="J19" i="6" s="1"/>
  <c r="I25" i="6"/>
  <c r="J25" i="6" s="1"/>
  <c r="I33" i="6"/>
  <c r="J33" i="6" s="1"/>
  <c r="I41" i="6"/>
  <c r="J41" i="6" s="1"/>
  <c r="B29" i="6"/>
  <c r="I4" i="6"/>
  <c r="J4" i="6" s="1"/>
  <c r="I12" i="6"/>
  <c r="J12" i="6" s="1"/>
  <c r="I20" i="6"/>
  <c r="J20" i="6" s="1"/>
  <c r="I26" i="6"/>
  <c r="J26" i="6" s="1"/>
  <c r="I34" i="6"/>
  <c r="J34" i="6" s="1"/>
  <c r="I42" i="6"/>
  <c r="J42" i="6" s="1"/>
  <c r="B36" i="6"/>
  <c r="I5" i="6"/>
  <c r="J5" i="6" s="1"/>
  <c r="I13" i="6"/>
  <c r="J13" i="6" s="1"/>
  <c r="I27" i="6"/>
  <c r="J27" i="6" s="1"/>
  <c r="I35" i="6"/>
  <c r="J35" i="6" s="1"/>
  <c r="I43" i="6"/>
  <c r="J43" i="6" s="1"/>
  <c r="B2" i="6"/>
  <c r="I6" i="6"/>
  <c r="J6" i="6" s="1"/>
  <c r="I14" i="6"/>
  <c r="J14" i="6" s="1"/>
  <c r="I21" i="6"/>
  <c r="J21" i="6" s="1"/>
  <c r="I28" i="6"/>
  <c r="J28" i="6" s="1"/>
  <c r="I36" i="6"/>
  <c r="J36" i="6" s="1"/>
  <c r="I44" i="6"/>
  <c r="J44" i="6" s="1"/>
  <c r="I7" i="6"/>
  <c r="J7" i="6" s="1"/>
  <c r="I15" i="6"/>
  <c r="J15" i="6" s="1"/>
  <c r="I22" i="6"/>
  <c r="J22" i="6" s="1"/>
  <c r="I29" i="6"/>
  <c r="J29" i="6" s="1"/>
  <c r="I37" i="6"/>
  <c r="J37" i="6" s="1"/>
  <c r="I45" i="6"/>
  <c r="J45" i="6" s="1"/>
  <c r="I8" i="6"/>
  <c r="J8" i="6" s="1"/>
  <c r="I16" i="6"/>
  <c r="J16" i="6" s="1"/>
  <c r="I23" i="6"/>
  <c r="J23" i="6" s="1"/>
  <c r="I30" i="6"/>
  <c r="J30" i="6" s="1"/>
  <c r="I38" i="6"/>
  <c r="J38" i="6" s="1"/>
  <c r="I2" i="6"/>
  <c r="J2" i="6" s="1"/>
  <c r="I9" i="6"/>
  <c r="J9" i="6" s="1"/>
  <c r="I17" i="6"/>
  <c r="J17" i="6" s="1"/>
  <c r="I31" i="6"/>
  <c r="J31" i="6" s="1"/>
  <c r="I39" i="6"/>
  <c r="J39" i="6" s="1"/>
  <c r="B14" i="6"/>
  <c r="I10" i="6"/>
  <c r="J10" i="6" s="1"/>
  <c r="I18" i="6"/>
  <c r="J18" i="6" s="1"/>
  <c r="I24" i="6"/>
  <c r="J24" i="6" s="1"/>
  <c r="I32" i="6"/>
  <c r="J32" i="6" s="1"/>
  <c r="I40" i="6"/>
  <c r="J40" i="6" s="1"/>
  <c r="B24" i="6"/>
  <c r="G41" i="6"/>
  <c r="G40" i="6"/>
  <c r="G32" i="6"/>
  <c r="G24" i="6"/>
  <c r="G18" i="6"/>
  <c r="G10" i="6"/>
  <c r="G2" i="6"/>
  <c r="F10" i="6"/>
  <c r="F18" i="6"/>
  <c r="F24" i="6"/>
  <c r="F32" i="6"/>
  <c r="F40" i="6"/>
  <c r="G29" i="6"/>
  <c r="G7" i="6"/>
  <c r="F27" i="6"/>
  <c r="G28" i="6"/>
  <c r="G14" i="6"/>
  <c r="F14" i="6"/>
  <c r="F36" i="6"/>
  <c r="G27" i="6"/>
  <c r="G5" i="6"/>
  <c r="F22" i="6"/>
  <c r="F45" i="6"/>
  <c r="G34" i="6"/>
  <c r="G20" i="6"/>
  <c r="F8" i="6"/>
  <c r="F30" i="6"/>
  <c r="G33" i="6"/>
  <c r="G11" i="6"/>
  <c r="F17" i="6"/>
  <c r="G39" i="6"/>
  <c r="G31" i="6"/>
  <c r="G17" i="6"/>
  <c r="G9" i="6"/>
  <c r="F3" i="6"/>
  <c r="F11" i="6"/>
  <c r="F19" i="6"/>
  <c r="F25" i="6"/>
  <c r="F33" i="6"/>
  <c r="F41" i="6"/>
  <c r="G37" i="6"/>
  <c r="G15" i="6"/>
  <c r="F5" i="6"/>
  <c r="F43" i="6"/>
  <c r="G44" i="6"/>
  <c r="G21" i="6"/>
  <c r="F6" i="6"/>
  <c r="F28" i="6"/>
  <c r="G35" i="6"/>
  <c r="G13" i="6"/>
  <c r="F7" i="6"/>
  <c r="F29" i="6"/>
  <c r="G26" i="6"/>
  <c r="G4" i="6"/>
  <c r="F23" i="6"/>
  <c r="F2" i="6"/>
  <c r="G19" i="6"/>
  <c r="F9" i="6"/>
  <c r="F39" i="6"/>
  <c r="G38" i="6"/>
  <c r="G30" i="6"/>
  <c r="G23" i="6"/>
  <c r="G16" i="6"/>
  <c r="G8" i="6"/>
  <c r="F4" i="6"/>
  <c r="F12" i="6"/>
  <c r="F20" i="6"/>
  <c r="F26" i="6"/>
  <c r="F34" i="6"/>
  <c r="F42" i="6"/>
  <c r="G45" i="6"/>
  <c r="G22" i="6"/>
  <c r="F13" i="6"/>
  <c r="F35" i="6"/>
  <c r="G36" i="6"/>
  <c r="G6" i="6"/>
  <c r="F21" i="6"/>
  <c r="F44" i="6"/>
  <c r="G43" i="6"/>
  <c r="F15" i="6"/>
  <c r="F37" i="6"/>
  <c r="G42" i="6"/>
  <c r="G12" i="6"/>
  <c r="F16" i="6"/>
  <c r="F38" i="6"/>
  <c r="G25" i="6"/>
  <c r="G3" i="6"/>
  <c r="F31" i="6"/>
  <c r="K24" i="6" l="1"/>
  <c r="G30" i="5" s="1"/>
  <c r="K29" i="6"/>
  <c r="K36" i="6"/>
  <c r="K14" i="6"/>
  <c r="K9" i="6"/>
  <c r="K6" i="6"/>
  <c r="K35" i="6"/>
  <c r="K19" i="6"/>
  <c r="K23" i="6"/>
  <c r="K40" i="6"/>
  <c r="K10" i="6"/>
  <c r="K7" i="6"/>
  <c r="K44" i="6"/>
  <c r="K20" i="6"/>
  <c r="K38" i="6"/>
  <c r="K3" i="6"/>
  <c r="K8" i="6"/>
  <c r="K30" i="6"/>
  <c r="K37" i="6"/>
  <c r="K25" i="6"/>
  <c r="K45" i="6"/>
  <c r="K11" i="6"/>
  <c r="K4" i="6"/>
  <c r="K12" i="6"/>
  <c r="K32" i="6"/>
  <c r="K41" i="6"/>
  <c r="K17" i="6"/>
  <c r="K15" i="6"/>
  <c r="K28" i="6"/>
  <c r="K39" i="6"/>
  <c r="K27" i="6"/>
  <c r="K5" i="6"/>
  <c r="K33" i="6"/>
  <c r="K42" i="6"/>
  <c r="K22" i="6"/>
  <c r="K2" i="6"/>
  <c r="K31" i="6"/>
  <c r="K13" i="6"/>
  <c r="K34" i="6"/>
  <c r="K43" i="6"/>
  <c r="K18" i="6"/>
  <c r="K16" i="6"/>
  <c r="K26" i="6"/>
  <c r="K21" i="6"/>
  <c r="H37" i="6"/>
  <c r="H17" i="6"/>
  <c r="H30" i="6"/>
  <c r="H2" i="6"/>
  <c r="H10" i="6"/>
  <c r="H44" i="6"/>
  <c r="H6" i="6"/>
  <c r="H7" i="6"/>
  <c r="H42" i="6"/>
  <c r="H36" i="6"/>
  <c r="H11" i="6"/>
  <c r="H5" i="6"/>
  <c r="H29" i="6"/>
  <c r="H18" i="6"/>
  <c r="H12" i="6"/>
  <c r="H38" i="6"/>
  <c r="H13" i="6"/>
  <c r="H33" i="6"/>
  <c r="H27" i="6"/>
  <c r="H24" i="6"/>
  <c r="H3" i="6"/>
  <c r="H8" i="6"/>
  <c r="H26" i="6"/>
  <c r="H39" i="6"/>
  <c r="H19" i="6"/>
  <c r="H35" i="6"/>
  <c r="H15" i="6"/>
  <c r="H9" i="6"/>
  <c r="H32" i="6"/>
  <c r="H40" i="6"/>
  <c r="H22" i="6"/>
  <c r="H25" i="6"/>
  <c r="H45" i="6"/>
  <c r="H20" i="6"/>
  <c r="H14" i="6"/>
  <c r="H43" i="6"/>
  <c r="H16" i="6"/>
  <c r="H23" i="6"/>
  <c r="H4" i="6"/>
  <c r="H21" i="6"/>
  <c r="H31" i="6"/>
  <c r="H34" i="6"/>
  <c r="H28" i="6"/>
  <c r="H41" i="6"/>
  <c r="E30" i="5" l="1"/>
  <c r="E26" i="5"/>
  <c r="G26" i="5"/>
  <c r="E28" i="5"/>
  <c r="G28" i="5"/>
  <c r="G34" i="5"/>
  <c r="E34" i="5"/>
  <c r="E32" i="5"/>
  <c r="G32" i="5"/>
  <c r="F56" i="3"/>
  <c r="F48" i="3"/>
  <c r="F40" i="3"/>
  <c r="F32" i="3"/>
  <c r="F24" i="3"/>
  <c r="F55" i="3"/>
  <c r="F47" i="3"/>
  <c r="F39" i="3"/>
  <c r="F31" i="3"/>
  <c r="F23" i="3"/>
  <c r="F34" i="3"/>
  <c r="F62" i="3"/>
  <c r="F54" i="3"/>
  <c r="F46" i="3"/>
  <c r="F38" i="3"/>
  <c r="F30" i="3"/>
  <c r="F22" i="3"/>
  <c r="F53" i="3"/>
  <c r="F45" i="3"/>
  <c r="F37" i="3"/>
  <c r="F29" i="3"/>
  <c r="F57" i="3"/>
  <c r="F33" i="3"/>
  <c r="F61" i="3"/>
  <c r="F21" i="3"/>
  <c r="F58" i="3"/>
  <c r="F50" i="3"/>
  <c r="F26" i="3"/>
  <c r="F60" i="3"/>
  <c r="F52" i="3"/>
  <c r="F44" i="3"/>
  <c r="F36" i="3"/>
  <c r="F28" i="3"/>
  <c r="F20" i="3"/>
  <c r="F25" i="3"/>
  <c r="F59" i="3"/>
  <c r="F51" i="3"/>
  <c r="F43" i="3"/>
  <c r="F35" i="3"/>
  <c r="F27" i="3"/>
  <c r="F19" i="3"/>
  <c r="F42" i="3"/>
  <c r="F49" i="3"/>
  <c r="F41" i="3"/>
  <c r="E56" i="3"/>
  <c r="E40" i="3"/>
  <c r="E55" i="3"/>
  <c r="E47" i="3"/>
  <c r="E39" i="3"/>
  <c r="E31" i="3"/>
  <c r="E23" i="3"/>
  <c r="E51" i="3"/>
  <c r="E27" i="3"/>
  <c r="E58" i="3"/>
  <c r="E26" i="3"/>
  <c r="E57" i="3"/>
  <c r="E25" i="3"/>
  <c r="E24" i="3"/>
  <c r="E62" i="3"/>
  <c r="E54" i="3"/>
  <c r="E46" i="3"/>
  <c r="E38" i="3"/>
  <c r="E30" i="3"/>
  <c r="E22" i="3"/>
  <c r="E60" i="3"/>
  <c r="E20" i="3"/>
  <c r="E43" i="3"/>
  <c r="E50" i="3"/>
  <c r="E34" i="3"/>
  <c r="E49" i="3"/>
  <c r="E48" i="3"/>
  <c r="E61" i="3"/>
  <c r="E53" i="3"/>
  <c r="E45" i="3"/>
  <c r="E37" i="3"/>
  <c r="E29" i="3"/>
  <c r="E21" i="3"/>
  <c r="E52" i="3"/>
  <c r="E44" i="3"/>
  <c r="E36" i="3"/>
  <c r="E28" i="3"/>
  <c r="E59" i="3"/>
  <c r="E35" i="3"/>
  <c r="E19" i="3"/>
  <c r="E42" i="3"/>
  <c r="E41" i="3"/>
  <c r="E33" i="3"/>
  <c r="E32" i="3"/>
  <c r="I61" i="3" l="1"/>
  <c r="G61" i="3"/>
  <c r="I59" i="3"/>
  <c r="G59" i="3"/>
  <c r="I45" i="3"/>
  <c r="G45" i="3"/>
  <c r="G20" i="3"/>
  <c r="I20" i="3"/>
  <c r="G24" i="3"/>
  <c r="I24" i="3"/>
  <c r="I31" i="3"/>
  <c r="G31" i="3"/>
  <c r="I32" i="3"/>
  <c r="G32" i="3"/>
  <c r="G28" i="3"/>
  <c r="I28" i="3"/>
  <c r="I53" i="3"/>
  <c r="G53" i="3"/>
  <c r="I60" i="3"/>
  <c r="G60" i="3"/>
  <c r="G25" i="3"/>
  <c r="I25" i="3"/>
  <c r="I39" i="3"/>
  <c r="G39" i="3"/>
  <c r="G22" i="3"/>
  <c r="I22" i="3"/>
  <c r="I57" i="3"/>
  <c r="G57" i="3"/>
  <c r="I47" i="3"/>
  <c r="G47" i="3"/>
  <c r="I33" i="3"/>
  <c r="G33" i="3"/>
  <c r="I44" i="3"/>
  <c r="G44" i="3"/>
  <c r="I48" i="3"/>
  <c r="G48" i="3"/>
  <c r="I30" i="3"/>
  <c r="G30" i="3"/>
  <c r="G26" i="3"/>
  <c r="I26" i="3"/>
  <c r="I55" i="3"/>
  <c r="G55" i="3"/>
  <c r="I41" i="3"/>
  <c r="G41" i="3"/>
  <c r="I52" i="3"/>
  <c r="G52" i="3"/>
  <c r="I49" i="3"/>
  <c r="G49" i="3"/>
  <c r="I38" i="3"/>
  <c r="G38" i="3"/>
  <c r="I58" i="3"/>
  <c r="G58" i="3"/>
  <c r="I42" i="3"/>
  <c r="G42" i="3"/>
  <c r="G21" i="3"/>
  <c r="I21" i="3"/>
  <c r="I34" i="3"/>
  <c r="G34" i="3"/>
  <c r="I46" i="3"/>
  <c r="G46" i="3"/>
  <c r="I27" i="3"/>
  <c r="G27" i="3"/>
  <c r="I40" i="3"/>
  <c r="G40" i="3"/>
  <c r="I36" i="3"/>
  <c r="G36" i="3"/>
  <c r="I19" i="3"/>
  <c r="G19" i="3"/>
  <c r="G29" i="3"/>
  <c r="I29" i="3"/>
  <c r="I50" i="3"/>
  <c r="G50" i="3"/>
  <c r="I54" i="3"/>
  <c r="G54" i="3"/>
  <c r="I51" i="3"/>
  <c r="G51" i="3"/>
  <c r="I56" i="3"/>
  <c r="G56" i="3"/>
  <c r="I35" i="3"/>
  <c r="G35" i="3"/>
  <c r="I37" i="3"/>
  <c r="G37" i="3"/>
  <c r="I43" i="3"/>
  <c r="G43" i="3"/>
  <c r="I62" i="3"/>
  <c r="G62" i="3"/>
  <c r="G23" i="3"/>
  <c r="I23" i="3"/>
  <c r="J41" i="3" l="1"/>
  <c r="J53" i="3"/>
  <c r="J46" i="3"/>
  <c r="J31" i="3"/>
  <c r="J19" i="3"/>
  <c r="M8" i="5" l="1"/>
</calcChain>
</file>

<file path=xl/sharedStrings.xml><?xml version="1.0" encoding="utf-8"?>
<sst xmlns="http://schemas.openxmlformats.org/spreadsheetml/2006/main" count="514" uniqueCount="245">
  <si>
    <t>EVALUACIÓN INDEPENDIENTE SISTEMA DE CONTROL INTERNO
Entidades Pequeñas
(instrucciones para su diligenciamiento)</t>
  </si>
  <si>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Esta estructura requiere de un análisis articulado frente al desarrollo de las políticas de gestión y desempeño contenidas en el modelo y su efectividad en relación con la estructura de control, este útlimo, aspecto esecial para garantizar el buen manejo de los recursos, que las metas y objetivos se cumplan y se mejore la prestación del servicio a los usuarios, ejes fundamentales para la generación de valor público.
Teniendo en cuenta lo anterior y dada la necesidad de dar cumplimiento a la dispuesto en el articulo 156 del Decreto 2106 de 2019, el presente formatobusca que las entidades cuenten con una herramienta para evaluar sus Sistemas de Control Interno de manera integral y permitirle al Jefe de Control Interno o quien haga sus veces llevar a cabo el informe de evaluación independiente sobre el mismo para su publicación cada seis (6) meses, en el sitio web de la entidad. La estructura propuesta es diferencial para aquellas entidades de municipios de 6a categoría (Personerías y Concejos Municipales) que son entidades con 1 y hasta 5 servidores en sus plantas de personal. Estas entidades deben tener en cuenta que de acuerdo con el parágrafo del artículo ARTÍCULO 2.2.22.2.1. del Decreto 1499 de 2017, las políticas de gestión y desempeño contenidas en el Modelo Integrado de Planeación y Gestión MIPG, deben ser aplicadas acorde con las normas que las regulan, por lo que deben analizar dichas políticas e implementarlas en armonía con el MECI.</t>
  </si>
  <si>
    <t>Orientaciones Generales</t>
  </si>
  <si>
    <r>
      <t xml:space="preserve">El archivo contiene las siguientes hojas:
 -  1 </t>
    </r>
    <r>
      <rPr>
        <b/>
        <sz val="11"/>
        <rFont val="Arial Narrow"/>
        <family val="2"/>
      </rPr>
      <t xml:space="preserve">Pestaña que desarrolla la estructura para evaluar el estado del Sistema de Control Interno: </t>
    </r>
    <r>
      <rPr>
        <sz val="11"/>
        <rFont val="Arial Narrow"/>
        <family val="2"/>
      </rPr>
      <t xml:space="preserve">Se desagrega en </t>
    </r>
    <r>
      <rPr>
        <sz val="10"/>
        <rFont val="Arial Narrow"/>
        <family val="2"/>
      </rPr>
      <t>"Ambiente de Control", "Evaluación de riesgos", "Actividades de control", "Información y Comunicación", y " Actividades de Monitoreo", componentes actuales del Modelo Estándar de Control Interno MECI. La estructura es la siguiente para el diligenciamiento:</t>
    </r>
  </si>
  <si>
    <t>Columna</t>
  </si>
  <si>
    <t>Descripción</t>
  </si>
  <si>
    <t>Componente del MECI asociado</t>
  </si>
  <si>
    <t>Esta columna define los componentes del MECI.</t>
  </si>
  <si>
    <t>Lineamiento General por Componente</t>
  </si>
  <si>
    <t>En esta columna establece el lineamientos general para cada uno de los componentes del MECI</t>
  </si>
  <si>
    <t>Requerimiento Asociado al Componente</t>
  </si>
  <si>
    <t>Se muestran una serie de preguntas con 3 opciones de respuesta así:
1. SI
2.NO
3. EN PROCESO</t>
  </si>
  <si>
    <t>Evidencia de Seguimiento al Control</t>
  </si>
  <si>
    <t>Establezca actividades adelantadas de aplicación del documento o elemento antes identificado (esto cuando se responde SI o bien EN PROCESO)</t>
  </si>
  <si>
    <r>
      <t xml:space="preserve"> -</t>
    </r>
    <r>
      <rPr>
        <sz val="11"/>
        <rFont val="Arial Narrow"/>
        <family val="2"/>
      </rPr>
      <t xml:space="preserve"> </t>
    </r>
    <r>
      <rPr>
        <b/>
        <sz val="11"/>
        <rFont val="Arial Narrow"/>
        <family val="2"/>
      </rPr>
      <t>Análisis de Resultados:</t>
    </r>
    <r>
      <rPr>
        <sz val="10"/>
        <rFont val="Arial Narrow"/>
        <family val="2"/>
      </rPr>
      <t xml:space="preserve"> Esta hoja permite consolidar los resultados para cada componente evaluado.</t>
    </r>
  </si>
  <si>
    <t xml:space="preserve">Clasificación </t>
  </si>
  <si>
    <t>Observaciones del Control</t>
  </si>
  <si>
    <t>Mantenimiento del Control</t>
  </si>
  <si>
    <t>Existe requerimiento pero se requiere actividades  dirigidas a su mantenimiento dentro del marco de las lineas de defensa.</t>
  </si>
  <si>
    <t>Oportunidad de Mejora</t>
  </si>
  <si>
    <t>Se encuentra en proceso, pero requiere continuar con acciones dirigidas a contar con dicho aspecto de control</t>
  </si>
  <si>
    <t xml:space="preserve">Deficiencia del Control 
</t>
  </si>
  <si>
    <t>No se encuentra el aspecto  por lo tanto la entidad debera generar acciones dirigidas a que se cumpla con el requerimiento .</t>
  </si>
  <si>
    <r>
      <t xml:space="preserve"> -</t>
    </r>
    <r>
      <rPr>
        <sz val="11"/>
        <rFont val="Arial Narrow"/>
        <family val="2"/>
      </rPr>
      <t xml:space="preserve"> </t>
    </r>
    <r>
      <rPr>
        <b/>
        <sz val="11"/>
        <rFont val="Arial Narrow"/>
        <family val="2"/>
      </rPr>
      <t>Conclusiones:</t>
    </r>
    <r>
      <rPr>
        <sz val="10"/>
        <rFont val="Arial Narrow"/>
        <family val="2"/>
      </rPr>
      <t xml:space="preserve"> Esta hoja permite establecer el estado del Sistema de Control Interno evaluado, información a partir de la cual se definen las acciones de mejora correspondientes. Esta hoja será el informe para publicación en página web, o bien para ubicar en un lugar visible en la sede de la entidad (esto para aquellas que no cuentan con conectividad o página web en operación).</t>
    </r>
  </si>
  <si>
    <t>MEDICION ESTADO DEL SISTEMA DE CONTROL INTERNO EN LA ENTIDAD</t>
  </si>
  <si>
    <t xml:space="preserve">No. </t>
  </si>
  <si>
    <t>Literal</t>
  </si>
  <si>
    <t>Requerimiento asociado al componente</t>
  </si>
  <si>
    <t>Seguimiento al control (Si, No, En proceso)</t>
  </si>
  <si>
    <t>Evidencia de seguimiento al control
(Establezca actividades adelantadas de aplicación del documento o elemento antes identificado, esto cuando se responde SI o bien EN PROCESO</t>
  </si>
  <si>
    <t>Evaluación</t>
  </si>
  <si>
    <t>1</t>
  </si>
  <si>
    <t>AMBIENTE DE CONTROL</t>
  </si>
  <si>
    <t>El ambiente de control institucional está integrado por todas esas condiciones mínimas que debe garantizar cualquier entidad pública para el ejercicio del control interno. Para el caso de su entidad indique si se cuenta con:</t>
  </si>
  <si>
    <t>a</t>
  </si>
  <si>
    <t>Documento interno o adopción del MECI actualizado</t>
  </si>
  <si>
    <t>No</t>
  </si>
  <si>
    <t>b</t>
  </si>
  <si>
    <t>Un documento tal como un código de ética, integridad u otro que formalice los estándares de conducta, los principios institucionales o los valores del servicio público</t>
  </si>
  <si>
    <t>Si</t>
  </si>
  <si>
    <t>c</t>
  </si>
  <si>
    <t>Planes, programas y proyectos de acuerdo con las normas que rigen y atendiendo con su propósito fundamental institucional (misión)</t>
  </si>
  <si>
    <t>d</t>
  </si>
  <si>
    <t>Una estructura organizacional formalizada (organigrama)</t>
  </si>
  <si>
    <t>e</t>
  </si>
  <si>
    <t>Un manual de funciones que describa los empleos de la entidad</t>
  </si>
  <si>
    <t>f</t>
  </si>
  <si>
    <t>La documentación de sus procesos y procedimientos o bien una lista de actividades principales que permitan conocer el estado de su gestión</t>
  </si>
  <si>
    <t>g</t>
  </si>
  <si>
    <t>Vinculación de los servidores públicos de acuerdo con el marco normativo que les rige (carrera administrativa, libre nombramiento y remoción, entre otros)</t>
  </si>
  <si>
    <t>h</t>
  </si>
  <si>
    <t>Procesos de inducción, capacitación y bienestar social para sus servidores públicos, de manera directa o en asociación con otras entidades municipales</t>
  </si>
  <si>
    <t>i</t>
  </si>
  <si>
    <t>Evaluación a los servidores públicos de acuerdo con el marco normativo que le rige</t>
  </si>
  <si>
    <t>j</t>
  </si>
  <si>
    <t>Procesos de desvinculación de servidores de acuerdo con lo previsto en la Constitución Política y las leyes</t>
  </si>
  <si>
    <t>k</t>
  </si>
  <si>
    <t>Mecanismos de rendición de cuentas a la ciudadanía</t>
  </si>
  <si>
    <t>l</t>
  </si>
  <si>
    <t>Presentación oportuna de sus informes de gestión a las autoridades competentes</t>
  </si>
  <si>
    <t>2</t>
  </si>
  <si>
    <t>EVALUACION DEL RIESGO</t>
  </si>
  <si>
    <t>Toda entidad debe identificar, evaluar y gestionar eventos potenciales, tanto internos como externos, que puedan afectar el logro de los objetivos institucionales. Para el caso de su entidad indique si se cuenta con:</t>
  </si>
  <si>
    <t>Identificación de cambios en su entorno que pueden generar consecuencias negativas en su gestión</t>
  </si>
  <si>
    <t>Identificación de aquellos problemas o aspectos que pueden afectar el cumplimiento de los planes de la entidad y en general su gestión institucional (riesgos)</t>
  </si>
  <si>
    <t>Identificación  de los riesgos relacionados con posibles actos de corrupción en el ejercicio de sus funciones</t>
  </si>
  <si>
    <t>Si su capacidad e infraestructura lo permite, identificación de riesgos asociados a las tecnologías de la información y las comunicaciones</t>
  </si>
  <si>
    <t>3</t>
  </si>
  <si>
    <t>Los líderes de los programas, proyectos, o procesos de la entidad  junto con sus equipos de trabajo:</t>
  </si>
  <si>
    <t>Hacen seguimiento a los problemas (riesgos)  que pueden afectar el cumplimiento de sus procesos, programas o proyectos a cargo</t>
  </si>
  <si>
    <t>Informan de manera periódica a quien corresponda sobre el desempeño de las actividades de gestión de riesgos</t>
  </si>
  <si>
    <t>Identifican deficiencias en las maneras de  controlar los riesgos o problemas en sus procesos, programas o proyectos, y propone los ajustes necesarios</t>
  </si>
  <si>
    <t>4</t>
  </si>
  <si>
    <t>Para el manejo de los problemas que afectan el cumplimiento de las metas u objetivos institucionales (riesgos), el jefe de control interno o quien haga sus veces, ha podido evidenciar si en la entidad:</t>
  </si>
  <si>
    <t>Se definen espacios de reunión para conocerlos y proponer acciones para su solución</t>
  </si>
  <si>
    <t>Cada líder del equipo autónomamente toma las acciones para solucionarlos.</t>
  </si>
  <si>
    <t>En proceso</t>
  </si>
  <si>
    <t>Solamente hasta que un organismo de control actúa se definen acciones de mejora.</t>
  </si>
  <si>
    <t>5</t>
  </si>
  <si>
    <t>ACTIVIDADES DE CONTROL</t>
  </si>
  <si>
    <t>Una vez identificados los problemas que afectan el cumplimiento de los planes de la entidad o su gestión institucional, la entidad debe diseñar los controles o mecanismos para darles tratamiento. Para el caso de su entidad indique si se cuenta con:</t>
  </si>
  <si>
    <t>La definición de acciones o actividades para para dar tratamiento a los problemas identificados (mitigación de riesgos), incluyendo aquellos asociados a posibles actos de corrupción</t>
  </si>
  <si>
    <t>Mecanismos de verificación de si se están o no mitigando los riesgos, o en su defecto, elaboración de planes de contingencia para subsanar sus consecuencias</t>
  </si>
  <si>
    <t>Planes, acciones o estrategias que permitan subsanar las consecuencias de la materialización de los riesgos, cuando se presentan</t>
  </si>
  <si>
    <t>Un documento que consolide  los riesgos  y el tratamiento que se les da, incluyendo aquellos que conllevan posibles actos de corrupción y si la capacidad e infraestructura lo permite, los asociados con las tecnologías de la información y las comunicaciones</t>
  </si>
  <si>
    <t>Un plan anticorrupción y de servicio al ciudadano con los temas que le aplican, publicado en algún medio para conocimiento de la ciudadanía</t>
  </si>
  <si>
    <t>6</t>
  </si>
  <si>
    <t>INFORMACION Y COMUNICACIÓN</t>
  </si>
  <si>
    <t>Las entidades deben procurar, de acuerdo con sus propias capacidades internas, que la información y la comunicación que requiere para su gestión y  control interno fluya de manera clara.  Acorde con lo anterior, indique si se cuenta con:</t>
  </si>
  <si>
    <t>Responsables de la información institucional</t>
  </si>
  <si>
    <t>Canales de comunicación con los ciudadanos</t>
  </si>
  <si>
    <t>Canales de comunicación o mecanismos de reporte de información a otros organismos gubernamentales o de control</t>
  </si>
  <si>
    <t xml:space="preserve">Lineamientos para dar tratamiento a la información de carácter reservado </t>
  </si>
  <si>
    <t>Identificación de información que produce en el marco de su gestión (Para los ciudadanos, organismos de control, organismos gubernamentales, entre otros)</t>
  </si>
  <si>
    <t>Identificación de información necesaria para la operación de la entidad (normograma, presupuesto, talento humano, infraestructura física y tecnológica)</t>
  </si>
  <si>
    <t>Si su capacidad e infraestructura lo permite, tecnologías de la información y las comunicaciones que soporten estos procesos</t>
  </si>
  <si>
    <t>7</t>
  </si>
  <si>
    <t>ACTIVIDADES DE MONITOREO</t>
  </si>
  <si>
    <t>Las entidades deben valorar: la eficiencia y eficacia de su gestión y la efectividad del control interno de la entidad pública con el propósito de detectar desviaciones y generar recomendaciones para la mejora. Para el caso de su entidad indique si se cuenta con:</t>
  </si>
  <si>
    <t>Mecanismos de evaluación de la gestión (cronogramas, indicadores, listas de chequeo u otros)</t>
  </si>
  <si>
    <t>Algún mecanismo para monitorear o supervisar el sistema de control interno institucional, ya sea por parte del representante legal, o del área de control interno (si la entidad cuenta con ella), o bien a través del Comité departamental o municipal de Auditoría.</t>
  </si>
  <si>
    <t>Medidas correctivas en caso de detectarse deficiencias en los ejercicios de evaluación, seguimiento o auditoría</t>
  </si>
  <si>
    <t>Seguimiento a los planes de mejoramiento suscritos con instancias de control internas o externas</t>
  </si>
  <si>
    <t>8</t>
  </si>
  <si>
    <t>¿La entidad ha solicitado hacer parte del Comité Municipal de Auditoría, a efectos de contar con un escenario para compartir buenas prácticas en materia de control interno, así como analizar la viabilidad de contar como mínimo con un proceso auditor en la vigencia?</t>
  </si>
  <si>
    <t>La entidad participa en el  Comité Municipal de Auditoría?</t>
  </si>
  <si>
    <t>9</t>
  </si>
  <si>
    <t>El jefe de control interno o quien haga sus veces, ha podido evidenciar si en la entidad el manejo que se ha hecho a los problemas que afectan el cumplimiento de sus metas y objetivos (riesgos) le ha permitido:</t>
  </si>
  <si>
    <t>Evitar que los problemas (riesgos) obstaculicen el cumplimiento de los objetivos.</t>
  </si>
  <si>
    <t>Controlar los puntos críticos en los procesos.</t>
  </si>
  <si>
    <t>Diseñar acciones adecuadas para controlar los problemas que afectan el cumplimiento de las metas y objetivos institucionales (riesgos).</t>
  </si>
  <si>
    <t>Ejecutar las acciones de acuerdo a como se diseñaron previamente.</t>
  </si>
  <si>
    <t>No se gestionan los problemas que afectan el cumplimiento de las funciones y objetivos institucionales(riesgos).</t>
  </si>
  <si>
    <t>ANÁLISIS DE RESULTADOS PARA LA TOMA DE DECISIONES</t>
  </si>
  <si>
    <t>Se encuentra en proceso, pero requiere continuar con acciones dirigidas a contar con dicho aspecto de control.</t>
  </si>
  <si>
    <t>Se encuentra presente  y funcionando, pero requiere mejoras frente a su diseño, ya que  opera de manera efectiva</t>
  </si>
  <si>
    <t>No se encuentra el aspecto  por lo tanto la entidad debera generar acciones dirigidas a que se cumpla con el requerimiento.</t>
  </si>
  <si>
    <t>RESULTADOS</t>
  </si>
  <si>
    <t>FUENTE DEL ANALISIS</t>
  </si>
  <si>
    <t xml:space="preserve">Seguimiento al control </t>
  </si>
  <si>
    <t>OBSERVACIONES DEL CONTROL</t>
  </si>
  <si>
    <t>NIVEL DE CUMPLIMIENTO-ASPECTOS PARTICULARES POR COMPONENTE</t>
  </si>
  <si>
    <t>NIVEL DE CUMPLIMIENTO COMPONENTE</t>
  </si>
  <si>
    <t>componente</t>
  </si>
  <si>
    <t>Nombre de la Entidad:</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</si>
  <si>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</si>
  <si>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</si>
  <si>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</si>
  <si>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</si>
  <si>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¿Es efectivo el sistema de control interno para los objetivos evaluados? (Si/No) (Justifique su respuesta):</t>
  </si>
  <si>
    <t>La entidad cuenta dentro de su Sistema de Control Interno, con una institucionalidad (Líneas de defensa)  que le permita la toma de decisiones frente al control (Si/No) (Justifique su respuesta):</t>
  </si>
  <si>
    <t>Componente</t>
  </si>
  <si>
    <t>¿se esta cumpliendo los requerimientos ?</t>
  </si>
  <si>
    <t>Nivel de Cumplimiento componente</t>
  </si>
  <si>
    <r>
      <rPr>
        <b/>
        <u/>
        <sz val="20"/>
        <color theme="0"/>
        <rFont val="Arial"/>
        <family val="2"/>
      </rPr>
      <t xml:space="preserve"> Estado actual:</t>
    </r>
    <r>
      <rPr>
        <b/>
        <sz val="20"/>
        <color theme="0"/>
        <rFont val="Arial"/>
        <family val="2"/>
      </rPr>
      <t xml:space="preserve"> Explicacion de las Debilidades y/o Fortalezas encontradas en cada componente</t>
    </r>
  </si>
  <si>
    <t>EVALUCION DEL RIESGO</t>
  </si>
  <si>
    <t>ACTIVIDADES DEL CONTROL</t>
  </si>
  <si>
    <t xml:space="preserve">ACTIVIDADES DE MONITOREO </t>
  </si>
  <si>
    <t xml:space="preserve">Evaluación </t>
  </si>
  <si>
    <t>Puntaje</t>
  </si>
  <si>
    <t xml:space="preserve">Orden </t>
  </si>
  <si>
    <t>Nivel de cumplimiento -Aaspectos particulares por componente</t>
  </si>
  <si>
    <t xml:space="preserve">Promedios </t>
  </si>
  <si>
    <t>1a</t>
  </si>
  <si>
    <t>1b</t>
  </si>
  <si>
    <t>1c</t>
  </si>
  <si>
    <t>1d</t>
  </si>
  <si>
    <t>1e</t>
  </si>
  <si>
    <t>1f</t>
  </si>
  <si>
    <t>1g</t>
  </si>
  <si>
    <t>1h</t>
  </si>
  <si>
    <t>1i</t>
  </si>
  <si>
    <t>1j</t>
  </si>
  <si>
    <t>1k</t>
  </si>
  <si>
    <t>1l</t>
  </si>
  <si>
    <t>2a</t>
  </si>
  <si>
    <t>La identificación de cambios en su entorno que pueden generar consecuencias negativas en su gestión</t>
  </si>
  <si>
    <t>2b</t>
  </si>
  <si>
    <t>La identificación de aquellos problemas o aspectos que pueden afectar el cumplimiento de los planes de la entidad y en general su gestión institucional (riesgos)</t>
  </si>
  <si>
    <t>2c</t>
  </si>
  <si>
    <t>La identificación  de los riesgos relacionados con posibles actos de corrupción en el ejercicio de sus funciones</t>
  </si>
  <si>
    <t>2d</t>
  </si>
  <si>
    <t>3a</t>
  </si>
  <si>
    <t>3b</t>
  </si>
  <si>
    <t>3c</t>
  </si>
  <si>
    <t>4a</t>
  </si>
  <si>
    <t>4b</t>
  </si>
  <si>
    <t>4c</t>
  </si>
  <si>
    <t>5a</t>
  </si>
  <si>
    <t>5b</t>
  </si>
  <si>
    <t>5c</t>
  </si>
  <si>
    <t>5d</t>
  </si>
  <si>
    <t>5e</t>
  </si>
  <si>
    <t>6a</t>
  </si>
  <si>
    <t>6b</t>
  </si>
  <si>
    <t>6c</t>
  </si>
  <si>
    <t>6d</t>
  </si>
  <si>
    <t>6e</t>
  </si>
  <si>
    <t>El jefe de control interno o quien haga sus veces, ha podido evidenciar si en la entidad si el manejo que se ha hecho a los problemas que afectan el cumplimiento de sus metas y objetivos (riesgos) le ha permitido:</t>
  </si>
  <si>
    <t>6f</t>
  </si>
  <si>
    <t>6g</t>
  </si>
  <si>
    <t>7a</t>
  </si>
  <si>
    <t>7d</t>
  </si>
  <si>
    <t>7f</t>
  </si>
  <si>
    <t>7g</t>
  </si>
  <si>
    <t>8h</t>
  </si>
  <si>
    <t>9a</t>
  </si>
  <si>
    <t>9b</t>
  </si>
  <si>
    <t>9c</t>
  </si>
  <si>
    <t>9d</t>
  </si>
  <si>
    <t>9e</t>
  </si>
  <si>
    <t>SOCIEDAD DE TELEVISION DE CALDAS, QUINDIO Y RISARALDA TELECAFE LTDA</t>
  </si>
  <si>
    <t xml:space="preserve">No se pertecene al comité municipal de auditoría </t>
  </si>
  <si>
    <t xml:space="preserve">No se encontraron acciones documentadas </t>
  </si>
  <si>
    <t>Las actividades de control presentan un nivel de cumplimiento del 70% y sus fortalezas estan en:
~ Determinación de el riesgo de corrupción;
~ Existencia de un plan anticorrupción y de atención al ciudadano debidamente publicado
En relación a las debilidades: 
~ Existencia de un mapa de riesgos institucional sin acciones asociadas;
~ Mecanismos de verificación para saber si se estan mitigando o no riesgos;
~ Planes de acción para subsanar las consecuencias de la materialización de riesgos.</t>
  </si>
  <si>
    <t>Se realizan controles de acuerdo a los riesgos identificados en el  mapa de riesgos institucional</t>
  </si>
  <si>
    <r>
      <t>El ambiente de control presenta un nivel de cumplimiento del 96%</t>
    </r>
    <r>
      <rPr>
        <sz val="16"/>
        <color rgb="FFFF0000"/>
        <rFont val="Arial"/>
        <family val="2"/>
      </rPr>
      <t>.</t>
    </r>
    <r>
      <rPr>
        <sz val="16"/>
        <rFont val="Arial"/>
        <family val="2"/>
      </rPr>
      <t xml:space="preserve">
Esta calificacion esta precedida por varias fortalezas destacadas así: 
~ Un documento interno de adopción del MECI, 
~ Un documento de codigo de integridad, 
~ El plan de acción 2024-2027 que condensa objetivos y metas del canal,
~ El sistema integrado de gestión que documenta los procesos y procedimientos de la entidad,
~ El proceso de vinculación de personal de acuerdo al marco normativo para TELECAFE,
~ Un proceso de inducción, capacitación y bienestar social para los servidores públicos,
~ Un proceso de evaluación de competencias,
~ Un proceso de desvinculación de servidores,
~ Un mecanismo de rendición de cuentas,
~ Presentación oportuna del informe de gestión. 
De otro lado tenemos situaciones en proceso de implementación y que generan retos de mejoramiento tales como:
~ La estructura organizacional formalizada, y
~ Una marcada debilidad se tiene con el manual de funciones, pues el mismo integra en un mismo documento los empleados públicos y los trabajadores oficiales.   </t>
    </r>
  </si>
  <si>
    <r>
      <t xml:space="preserve">El componente de evaluación del riesgo tiene una calificación del 85%, de donde se pueden destacatar las siguientes fortalezas y debilidades:
</t>
    </r>
    <r>
      <rPr>
        <b/>
        <sz val="16"/>
        <rFont val="Arial"/>
        <family val="2"/>
      </rPr>
      <t>Fortalezas:</t>
    </r>
    <r>
      <rPr>
        <sz val="16"/>
        <rFont val="Arial"/>
        <family val="2"/>
      </rPr>
      <t xml:space="preserve">  La identificacion de riesgos relacionados con posibles actos de corrupción;
~ Creación de comités como espacios de socialización de para el manejo de problemas que afectan el sector;
~ Se tienen planes de mejoramiento producto de las intervenciones de organismos de control;
</t>
    </r>
    <r>
      <rPr>
        <b/>
        <sz val="16"/>
        <rFont val="Arial"/>
        <family val="2"/>
      </rPr>
      <t>Debilidades:</t>
    </r>
    <r>
      <rPr>
        <sz val="16"/>
        <rFont val="Arial"/>
        <family val="2"/>
      </rPr>
      <t xml:space="preserve"> ~ Análisis, identificación, valoración y seguimiento a los cambios que afecten el sector audiovisual en general, pero también a objetivos, planes, programas y proyectos particulares;
~ Identificación de riesgos asociados a tecnologías de información y comunicaciones; 
~ Seguimiento a riesgos que pueden afectar el cumplimiento de sus procesos;
~ Informes periódicos sobre la gestión de riesgos;
~ Toma de decisiones autónomas para solucion de problemas.</t>
    </r>
  </si>
  <si>
    <r>
      <t xml:space="preserve">El componente de información y comunicación presenta un nivel de cumplimiento del 93%, de donde se pueden destacatar las siguientes fortalezas y debilidades:
</t>
    </r>
    <r>
      <rPr>
        <b/>
        <sz val="16"/>
        <rFont val="Arial"/>
        <family val="2"/>
      </rPr>
      <t>Fortalezas:</t>
    </r>
    <r>
      <rPr>
        <sz val="16"/>
        <rFont val="Arial"/>
        <family val="2"/>
      </rPr>
      <t xml:space="preserve"> ~ Resposables de la información institucional;
~ Canales de información con los ciudadanos;
~ Canales de comunicación con organismos gubernamentales;
~ Lineamiento para el tratamiento de información reservada;
~ Identificación de información para operación de la entidad.
</t>
    </r>
    <r>
      <rPr>
        <b/>
        <sz val="16"/>
        <rFont val="Arial"/>
        <family val="2"/>
      </rPr>
      <t>Debilidades:</t>
    </r>
    <r>
      <rPr>
        <sz val="16"/>
        <rFont val="Arial"/>
        <family val="2"/>
      </rPr>
      <t xml:space="preserve">  Identificación de información que se produce en el marco de su gestión
~ Infraestructura tecnológica de información y de comunicaciones que soporten los procesos</t>
    </r>
  </si>
  <si>
    <r>
      <t xml:space="preserve">Las actividades de monitoreo presentaron un cumplimiento del 70% así:
</t>
    </r>
    <r>
      <rPr>
        <b/>
        <sz val="16"/>
        <rFont val="Arial"/>
        <family val="2"/>
      </rPr>
      <t>Fortalezas</t>
    </r>
    <r>
      <rPr>
        <sz val="16"/>
        <rFont val="Arial"/>
        <family val="2"/>
      </rPr>
      <t xml:space="preserve">: ~ Mecanismos de evaluación de la gestión;
~ Mecanismos de monitoreo del sistema de control interno institucional; 
</t>
    </r>
    <r>
      <rPr>
        <b/>
        <sz val="16"/>
        <rFont val="Arial"/>
        <family val="2"/>
      </rPr>
      <t>Debilidades</t>
    </r>
    <r>
      <rPr>
        <sz val="16"/>
        <rFont val="Arial"/>
        <family val="2"/>
      </rPr>
      <t>: ~ Medidas correctivas en caso de detectarse deficiencias
~ Seguimiento a planes de mejoramiento
~ Control de los puntos críticos en los procesos</t>
    </r>
  </si>
  <si>
    <t>La entidad formalizó la implementación del Modelo Integrado de Planeación y Gestión (MIPG) mediante la Resolución No. 177 de 2018, la cual constituye el marco normativo actual que rige el Sistema de Control Interno.</t>
  </si>
  <si>
    <t>La entidad ha formalizado sus estándares de conducta, principios y valores del servicio público a través del Código de Integridad, adoptado mediante la Resolución No. 246 del 30 de noviembre de 2021, el cual constituye el pilar de la ética institucional.</t>
  </si>
  <si>
    <t xml:space="preserve"> La gestión institucional se encuentra alineada con el propósito misional mediante el "Plan de Acción 2024-2027", el cual integra objetivos, metas e indicadores de gestión bajo el marco normativo vigente.</t>
  </si>
  <si>
    <t>La entidad cuenta con una estructura formalizada, la cual se encuentra en fase de ajuste y optimización técnica para subsanar brechas identificadas y asegurar una mayor eficiencia en los procesos.</t>
  </si>
  <si>
    <t>Se cuenta con un manual de funciones y competencias institucional; actualmente, se adelanta un proceso de actualización normativa para segregar adecuadamente los perfiles de empleados públicos y trabajadores oficiales.</t>
  </si>
  <si>
    <t>La entidad cuenta con un Sistema Integrado de Gestión que estandariza sus procesos y procedimientos; este marco permite la medición continua y proporciona información objetiva sobre el desempeño institucional.</t>
  </si>
  <si>
    <t>La vinculación del talento humano en TELECAFÉ LTDA se ajusta al marco normativo vigente. La planta de personal está integrada por 32 cargos: 29 bajo la naturaleza de trabajadores oficiales y 3 empleos públicos de libre nombramiento y remoción.</t>
  </si>
  <si>
    <t xml:space="preserve">La entidad garantiza el desarrollo integral de su talento humano a través de los procesos de inducción, reinducción, capacitación y bienestar, ejecutados bajo planes y cronogramas anuales supervisados por la oficina de Gestión Humana y Administrativa. </t>
  </si>
  <si>
    <t>La entidad garantiza que los procesos de desvinculación se ejecutan en estricto cumplimiento de la Constitución Política y las normas legales vigentes, bajo procedimientos supervisados por la oficina de Gestión Humana y Administrativa.</t>
  </si>
  <si>
    <t>TELECAFÉ LTDA mantiene una gestión eficaz en la entrega de informes ante las autoridades competentes, fundamentada en la articulación interinstitucional y el respeto estricto a los términos de ley.</t>
  </si>
  <si>
    <t>Se consolidan y gestionan mapas de riesgos por procesos, fortaleciendo la capacidad preventiva de la entidad para detectar y mitigar oportunamente las amenazas que afectan el cumplimiento de la planeación institucional.</t>
  </si>
  <si>
    <t>Se consolidan y gestionan mapas de riesgos enfocados en la integridad, facilitando el análisis crítico y la adopción de medidas preventivas ante posibles amenazas de corrupción en el desarrollo de las actividades institucionales.</t>
  </si>
  <si>
    <t>El proceso de Tecnología e Innovación integra formalmente la identificación de riesgos digitales, garantizando que la infraestructura tecnológica soporte los objetivos misionales del canal bajo estrictos protocolos de control.</t>
  </si>
  <si>
    <t>Se informa periódicamente sobre el desempeño de la gestión de riesgos en el marco de los comités institucionales</t>
  </si>
  <si>
    <t>El seguimiento es realizado por líderes de proceso y comités, con tareas de mejora continua en la documentación de planes de acción.</t>
  </si>
  <si>
    <t>Se realiza el monitoreo de los cambios en el sector de televisión para adaptar la gestión estratégica a la diversificación de la industria</t>
  </si>
  <si>
    <t>Las deficiencias detectadas en la operatividad de los controles son expuestas y analizadas en los comités institucionales, garantizando la trazabilidad y la implementación de los ajustes preventivos o correctivos requeridos.</t>
  </si>
  <si>
    <t>Se mantienen mesas de trabajo especializadas según la naturaleza de cada proceso, garantizando el despliegue de mecanismos de resolución inmediata ante las desviaciones detectadas en la gestión.</t>
  </si>
  <si>
    <t>En el marco de los diferentes comités institucionales se dan  a conocer diferentes acciones de cada área en el sentido de corregir o mejorar situaciones de riesgo.</t>
  </si>
  <si>
    <t>La estrategia institucional está evolucionando de un enfoque reactivo hacia una gestión proactiva; en este sentido, se prioriza la consolidación de herramientas internas de seguimiento y autoevaluación para fomentar una cultura organizacional orientada a la mejora continua.</t>
  </si>
  <si>
    <t>La entidad define acciones y actividades orientadas al tratamiento de los riesgos identificados, incluyendo aquellas medidas específicas para la mitigación de posibles actos de corrupción en la gestión institucional.</t>
  </si>
  <si>
    <t>La entidad ha formalizado las directrices operativas dentro de su matriz de riesgos, garantizando que cada proceso cuente con planes de acción definidos y validados para mitigar de manera efectiva las consecuencias ante la materialización de cualquier riesgo.</t>
  </si>
  <si>
    <t>Se ha implementado una estrategia de comunicación interna para el Programa de transparencia y etica pública 2026 , garantizando que el liderazgo de cada área asuma la responsabilidad de socializar esta herramienta y fomentar la transparencia en toda la organización.</t>
  </si>
  <si>
    <t>La estructura de planeación institucional tiene definidos los roles y responsabilidades de los líderes de proceso, quienes actúan como custodios y responsables directos de la información generada en cada área.</t>
  </si>
  <si>
    <t>Se han estandarizado los canales de comunicación institucional a través de instrumentos técnicos, tales como el manual y la política de comunicaciones, los cuales se encuentran disponibles en la página web para consulta y uso de la ciudadanía.</t>
  </si>
  <si>
    <t>TELECAFÉ LTDA gestiona su producción informativa mediante una identificación técnica que distingue el destinatario y la finalidad de cada reporte, garantizando la transparencia frente a los organismos de control y el acceso público a la información.</t>
  </si>
  <si>
    <t>TELECAFÉ LTDA dispone de un inventario y clasificación de la información fundamental para su funcionamiento, permitiendo la gestión eficiente de componentes clave como la normativa, los recursos financieros, el capital humano y la infraestructura técnica.</t>
  </si>
  <si>
    <t>La entidad dispone de la herramienta tecnológica ADMIARCHI para la gestión documental; actualmente, se ejecutan planes de formación continua para asegurar la apropiación y el uso óptimo de esta plataforma por parte de todo el personal.</t>
  </si>
  <si>
    <t>Se aplica un modelo de seguimiento basado en indicadores y cronogramas, complementado con revisiones sistemáticas por parte de la alta dirección, lo que permite evaluar el desempeño institucional y ajustar la planeación de manera efectiva.</t>
  </si>
  <si>
    <t>Cuenta con una estructura definida donde cada proceso tiene claras sus responsabilidades frente al cumplimiento de los requerimientos de información, garantizando la entrega oportuna y precisa de los reportes exigidos por los organismos gubernamentales y de control.</t>
  </si>
  <si>
    <t>La Entidad ejerce el control y seguimiento del sistema institucional mediante sesiones formales del Comité Institucional de Coordinación de Control Interno, consolidando un mecanismo efectivo para  la mejora continua.</t>
  </si>
  <si>
    <t>Se han formalizado mecanismos de respuesta para la atención de hallazgos; los resultados de auditorías y ejercicios de seguimiento se comunican de manera oportuna a los líderes de proceso para gestionar la corrección inmediata de las deficiencias detectadas.</t>
  </si>
  <si>
    <t>La entidad garantiza el seguimiento continuo y sistemático a los planes de mejoramiento suscritos tanto con entes de control externo como aquellos derivados de las auditorías internas, asegurando el cumplimiento de las acciones de mejora comprometidas.</t>
  </si>
  <si>
    <t>Enero a Junio de 2026</t>
  </si>
  <si>
    <t>TELECAFE LTDA durante el primer semestre de la vigencia 2026, presenta importantes avances y fortalezas, conforme a los antecedentes en sus calificaciones así: I semestre 2022 67%, II semestre 2022 67%, I semestre de 2023 un 66%, II semestre 2023 68% , el I semestre de 2024 con 74% ,   el II semestre de 2024 con 78%,  I semestre de 2025 un 83%, II semestre 2025 86%. y I semestre de 2026 91%.
        Este resultado ratifica la consolidación de una cultura institucional orientada a la mejora continua, donde el control interno se ha integrado con éxito como un eje transversal y estratégico de la organización.</t>
  </si>
  <si>
    <t>El sistema de control interno de TELECAFE es efectivo en cuanto a los diferentes componentes evaluados, sin embargo es importanteSe aclara que los componentes de "actividades de monitoreo" y "actividades de control" presentan retos en sus implementaciones y en las actividades asociadas, ya que son los elementos con menor calificación y son objeto constante de mejoramiento.</t>
  </si>
  <si>
    <t xml:space="preserve">
La entidad adoptó el Modelo Integrado de Planeación y Gestión (MIPG) mediante la Resolución 177 de mayo de 2018, dicha resolucion establece las líneas estratégicas y de defensa del canal, estas líneas están conformadas por lal Gerente de Telecafé, los Coordinadores de Área (líderes de procesos) y los servidores públicos responsables de diseñar, mantener y garantizar el establecimiento del Sistema Institucional de Control Interno.
Asimismo, estos responsables deben proveer los recursos necesarios para su implementación, evaluar el cumplimiento de los objetivos y asegurar la mejora continua del desempeño de la entidad.</t>
  </si>
  <si>
    <t>La entidad ejecuta procesos de evaluación de competencias según sus procedimientos internos, ajustados a la naturaleza jurídica de su personal y al marco normativo que rige sus vínculos laborales.  ( no aplica evaluacion de desempeño en los términos de la ley 909 de 2004)</t>
  </si>
  <si>
    <t xml:space="preserve">Cumplimiento del componente mediante la consolidación, publicación y libre acceso del Informe de Gestión en la página web del canal, asegurando canales abiertos de transparencia e información pública.
</t>
  </si>
  <si>
    <t xml:space="preserve">La entidad afianza sus capacidades de monitoreo y respuesta mediante la adopción de una metodología de valoración de riesgos, la cual guía la formulación de planes de contingencia </t>
  </si>
  <si>
    <t>La entidad dispone de instrumentos  de consolidación de riesgos, incluyendo el Mapa de Riesgos de Corrupción y el Mapa de Riesgos Institucional, los cuales son objeto de actualización periódica para asegurar la pertinencia de los tratamientos definidos</t>
  </si>
  <si>
    <t>La entidad cuenta con una matriz que clasifica la información de carácter reservado; este instrumento se encuentra publicado y disponible en el portal de transparencia para consulta pública.</t>
  </si>
  <si>
    <t>La Entidad  fortalece su modelo de gestión mediante una metodología de riesgos, diseñada para aplicar medidas de control que garantizan la continuidad y el cumplimiento de los objetivos estratégicos.</t>
  </si>
  <si>
    <t>La Entidad fortalece el control de sus procesos críticos mediante una gestión , que incorpora la política de riesgos y el mapa de procesos bajo los lineamientos de calidad y estándares de la metodología DAFP.</t>
  </si>
  <si>
    <t>La entidad cuenta con un sistema  de seguimiento y monitoreo , donde la  mejora continua y la gestión  de riesgos se traducen en acciones  que fortalecen la transparencia y la eficacia institucional.
Se tiene como base  el mapa de riesgos y procesos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</si>
</sst>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8" x14ac:knownFonts="1">
    <font>
      <sz val="11"/>
      <color theme="1"/>
      <name val="Calibri"/>
      <family val="2"/>
      <scheme val="minor"/>
    </font>
    <font>
      <sz val="11"/>
      <name val="Arial"/>
      <family val="2"/>
    </font>
    <font>
      <b/>
      <sz val="12"/>
      <name val="Arial"/>
      <family val="2"/>
    </font>
    <font>
      <sz val="11"/>
      <color theme="1"/>
      <name val="Calibri"/>
      <family val="2"/>
      <scheme val="minor"/>
    </font>
    <font>
      <sz val="11"/>
      <color theme="0"/>
      <name val="Calibri"/>
      <family val="2"/>
      <scheme val="minor"/>
    </font>
    <font>
      <b/>
      <sz val="12"/>
      <color theme="0"/>
      <name val="Arial"/>
      <family val="2"/>
    </font>
    <font>
      <b/>
      <sz val="20"/>
      <color theme="0"/>
      <name val="Arial Narrow"/>
      <family val="2"/>
    </font>
    <font>
      <sz val="11"/>
      <color theme="1"/>
      <name val="Arial Narrow"/>
      <family val="2"/>
    </font>
    <font>
      <sz val="11"/>
      <color theme="0"/>
      <name val="Arial Narrow"/>
      <family val="2"/>
    </font>
    <font>
      <b/>
      <sz val="18"/>
      <color theme="0"/>
      <name val="Arial"/>
      <family val="2"/>
    </font>
    <font>
      <sz val="20"/>
      <color rgb="FFFF0000"/>
      <name val="Arial"/>
      <family val="2"/>
    </font>
    <font>
      <b/>
      <sz val="12"/>
      <color rgb="FFFF0000"/>
      <name val="Arial"/>
      <family val="2"/>
    </font>
    <font>
      <b/>
      <sz val="10"/>
      <color rgb="FFFF0000"/>
      <name val="Arial"/>
      <family val="2"/>
    </font>
    <font>
      <b/>
      <sz val="10"/>
      <color theme="1"/>
      <name val="Arial"/>
      <family val="2"/>
    </font>
    <font>
      <b/>
      <sz val="16"/>
      <color theme="1"/>
      <name val="Arial"/>
      <family val="2"/>
    </font>
    <font>
      <b/>
      <i/>
      <sz val="10"/>
      <name val="Arial"/>
      <family val="2"/>
    </font>
    <font>
      <b/>
      <i/>
      <sz val="10"/>
      <color theme="1"/>
      <name val="Arial"/>
      <family val="2"/>
    </font>
    <font>
      <b/>
      <sz val="16"/>
      <color theme="0"/>
      <name val="Arial Narrow"/>
      <family val="2"/>
    </font>
    <font>
      <b/>
      <sz val="12"/>
      <color theme="0"/>
      <name val="Arial Narrow"/>
      <family val="2"/>
    </font>
    <font>
      <b/>
      <sz val="10"/>
      <color theme="0"/>
      <name val="Arial Narrow"/>
      <family val="2"/>
    </font>
    <font>
      <sz val="12"/>
      <color theme="1"/>
      <name val="Arial"/>
      <family val="2"/>
    </font>
    <font>
      <sz val="10"/>
      <color theme="1"/>
      <name val="Calibri"/>
      <family val="2"/>
      <scheme val="minor"/>
    </font>
    <font>
      <sz val="10"/>
      <color theme="0"/>
      <name val="Arial Narrow"/>
      <family val="2"/>
    </font>
    <font>
      <sz val="14"/>
      <color theme="0"/>
      <name val="Arial"/>
      <family val="2"/>
    </font>
    <font>
      <sz val="10"/>
      <color theme="1"/>
      <name val="Arial Narrow"/>
      <family val="2"/>
    </font>
    <font>
      <b/>
      <sz val="11"/>
      <name val="Arial Narrow"/>
      <family val="2"/>
    </font>
    <font>
      <sz val="10"/>
      <name val="Arial Narrow"/>
      <family val="2"/>
    </font>
    <font>
      <sz val="16"/>
      <color theme="0"/>
      <name val="Calibri"/>
      <family val="2"/>
      <scheme val="minor"/>
    </font>
    <font>
      <b/>
      <sz val="18"/>
      <name val="Calibri"/>
      <family val="2"/>
      <scheme val="minor"/>
    </font>
    <font>
      <sz val="10"/>
      <name val="Arial"/>
      <family val="2"/>
    </font>
    <font>
      <b/>
      <sz val="14"/>
      <name val="Arial Narrow"/>
      <family val="2"/>
    </font>
    <font>
      <b/>
      <u/>
      <sz val="11"/>
      <name val="Arial Narrow"/>
      <family val="2"/>
    </font>
    <font>
      <b/>
      <sz val="10"/>
      <name val="Arial Narrow"/>
      <family val="2"/>
    </font>
    <font>
      <sz val="12"/>
      <name val="Times New Roman"/>
      <family val="1"/>
    </font>
    <font>
      <b/>
      <sz val="9"/>
      <name val="Arial Narrow"/>
      <family val="2"/>
    </font>
    <font>
      <sz val="9"/>
      <name val="Arial Narrow"/>
      <family val="2"/>
    </font>
    <font>
      <sz val="11"/>
      <name val="Arial Narrow"/>
      <family val="2"/>
    </font>
    <font>
      <b/>
      <sz val="10"/>
      <color theme="1"/>
      <name val="Arial Narrow"/>
      <family val="2"/>
    </font>
    <font>
      <sz val="15"/>
      <color theme="1"/>
      <name val="Arial Narrow"/>
      <family val="2"/>
    </font>
    <font>
      <sz val="8"/>
      <name val="Calibri"/>
      <family val="2"/>
      <scheme val="minor"/>
    </font>
    <font>
      <b/>
      <sz val="18"/>
      <color theme="1"/>
      <name val="Calibri"/>
      <family val="2"/>
      <scheme val="minor"/>
    </font>
    <font>
      <b/>
      <sz val="20"/>
      <name val="Arial"/>
      <family val="2"/>
    </font>
    <font>
      <sz val="12"/>
      <color theme="1"/>
      <name val="Arial Narrow"/>
      <family val="2"/>
    </font>
    <font>
      <sz val="14"/>
      <color theme="1"/>
      <name val="Calibri"/>
      <family val="2"/>
      <scheme val="minor"/>
    </font>
    <font>
      <b/>
      <sz val="14"/>
      <name val="Arial"/>
      <family val="2"/>
    </font>
    <font>
      <sz val="18"/>
      <color theme="1"/>
      <name val="Arial"/>
      <family val="2"/>
    </font>
    <font>
      <b/>
      <sz val="20"/>
      <color theme="0"/>
      <name val="Arial"/>
      <family val="2"/>
    </font>
    <font>
      <sz val="20"/>
      <color theme="1"/>
      <name val="Calibri"/>
      <family val="2"/>
      <scheme val="minor"/>
    </font>
    <font>
      <b/>
      <u/>
      <sz val="20"/>
      <color theme="0"/>
      <name val="Arial"/>
      <family val="2"/>
    </font>
    <font>
      <sz val="25"/>
      <color theme="1"/>
      <name val="Calibri"/>
      <family val="2"/>
      <scheme val="minor"/>
    </font>
    <font>
      <sz val="25"/>
      <color theme="1"/>
      <name val="Arial Narrow"/>
      <family val="2"/>
    </font>
    <font>
      <sz val="16"/>
      <color theme="1"/>
      <name val="Arial"/>
      <family val="2"/>
    </font>
    <font>
      <b/>
      <sz val="22"/>
      <color theme="0"/>
      <name val="Arial Narrow"/>
      <family val="2"/>
    </font>
    <font>
      <sz val="16"/>
      <name val="Arial"/>
      <family val="2"/>
    </font>
    <font>
      <sz val="16"/>
      <color rgb="FFFF0000"/>
      <name val="Arial"/>
      <family val="2"/>
    </font>
    <font>
      <b/>
      <sz val="16"/>
      <name val="Arial"/>
      <family val="2"/>
    </font>
    <font>
      <b/>
      <sz val="14"/>
      <color theme="1"/>
      <name val="Arial Narrow"/>
      <family val="2"/>
    </font>
    <font>
      <sz val="18"/>
      <color theme="1"/>
      <name val="Arial Narrow"/>
      <family val="2"/>
    </font>
  </fonts>
  <fills count="16">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theme="4"/>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9" tint="0.39997558519241921"/>
        <bgColor indexed="64"/>
      </patternFill>
    </fill>
  </fills>
  <borders count="97">
    <border>
      <left/>
      <right/>
      <top/>
      <bottom/>
      <diagonal/>
    </border>
    <border>
      <left/>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auto="1"/>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bottom/>
      <diagonal/>
    </border>
    <border>
      <left style="hair">
        <color indexed="64"/>
      </left>
      <right style="medium">
        <color indexed="64"/>
      </right>
      <top style="hair">
        <color indexed="64"/>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right/>
      <top style="medium">
        <color indexed="64"/>
      </top>
      <bottom style="thin">
        <color indexed="64"/>
      </bottom>
      <diagonal/>
    </border>
    <border>
      <left style="dashed">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right/>
      <top style="dash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double">
        <color theme="9" tint="-0.499984740745262"/>
      </top>
      <bottom style="thin">
        <color indexed="64"/>
      </bottom>
      <diagonal/>
    </border>
    <border>
      <left style="thin">
        <color indexed="64"/>
      </left>
      <right style="thin">
        <color indexed="64"/>
      </right>
      <top style="thin">
        <color indexed="64"/>
      </top>
      <bottom style="double">
        <color theme="9" tint="-0.499984740745262"/>
      </bottom>
      <diagonal/>
    </border>
  </borders>
  <cellStyleXfs count="5">
    <xf numFmtId="0" fontId="0" fillId="0" borderId="0"/>
    <xf numFmtId="9" fontId="3" fillId="0" borderId="0" applyFont="0" applyFill="0" applyBorder="0" applyAlignment="0" applyProtection="0"/>
    <xf numFmtId="0" fontId="21" fillId="0" borderId="0"/>
    <xf numFmtId="0" fontId="29" fillId="0" borderId="0"/>
    <xf numFmtId="0" fontId="33" fillId="0" borderId="0"/>
  </cellStyleXfs>
  <cellXfs count="333">
    <xf numFmtId="0" fontId="0" fillId="0" borderId="0" xfId="0"/>
    <xf numFmtId="0" fontId="0" fillId="4" borderId="0" xfId="0" applyFill="1"/>
    <xf numFmtId="0" fontId="0" fillId="4" borderId="17" xfId="0" applyFill="1" applyBorder="1"/>
    <xf numFmtId="0" fontId="0" fillId="4" borderId="18" xfId="0" applyFill="1" applyBorder="1"/>
    <xf numFmtId="0" fontId="0" fillId="4" borderId="19" xfId="0" applyFill="1" applyBorder="1"/>
    <xf numFmtId="0" fontId="0" fillId="4" borderId="20" xfId="0" applyFill="1" applyBorder="1"/>
    <xf numFmtId="0" fontId="7" fillId="4" borderId="0" xfId="0" applyFont="1" applyFill="1" applyAlignment="1">
      <alignment horizontal="center"/>
    </xf>
    <xf numFmtId="0" fontId="0" fillId="4" borderId="21" xfId="0" applyFill="1" applyBorder="1"/>
    <xf numFmtId="164" fontId="7" fillId="4" borderId="0" xfId="0" applyNumberFormat="1" applyFont="1" applyFill="1" applyAlignment="1">
      <alignment horizontal="center"/>
    </xf>
    <xf numFmtId="0" fontId="8" fillId="4" borderId="0" xfId="0" applyFont="1" applyFill="1" applyAlignment="1">
      <alignment vertical="center"/>
    </xf>
    <xf numFmtId="0" fontId="10" fillId="4" borderId="0" xfId="0" applyFont="1" applyFill="1" applyAlignment="1">
      <alignment horizontal="center" vertical="center"/>
    </xf>
    <xf numFmtId="0" fontId="11" fillId="4" borderId="0" xfId="0" applyFont="1" applyFill="1"/>
    <xf numFmtId="0" fontId="9" fillId="4" borderId="0" xfId="0" applyFont="1" applyFill="1" applyAlignment="1">
      <alignment horizontal="center" vertical="center"/>
    </xf>
    <xf numFmtId="0" fontId="2" fillId="4" borderId="30" xfId="0" applyFont="1" applyFill="1" applyBorder="1" applyAlignment="1">
      <alignment horizontal="center" vertical="center"/>
    </xf>
    <xf numFmtId="0" fontId="2" fillId="4" borderId="0" xfId="0" applyFont="1" applyFill="1" applyAlignment="1">
      <alignment horizontal="center" vertical="center"/>
    </xf>
    <xf numFmtId="0" fontId="12" fillId="4" borderId="0" xfId="0" applyFont="1" applyFill="1" applyAlignment="1">
      <alignment wrapText="1"/>
    </xf>
    <xf numFmtId="0" fontId="13" fillId="4" borderId="0" xfId="0" applyFont="1" applyFill="1" applyAlignment="1">
      <alignment wrapText="1"/>
    </xf>
    <xf numFmtId="0" fontId="5" fillId="0" borderId="0" xfId="0" applyFont="1" applyAlignment="1">
      <alignment vertical="center"/>
    </xf>
    <xf numFmtId="9" fontId="2" fillId="0" borderId="0" xfId="0" applyNumberFormat="1" applyFont="1" applyAlignment="1">
      <alignment vertical="center"/>
    </xf>
    <xf numFmtId="0" fontId="2" fillId="4" borderId="21" xfId="0" applyFont="1" applyFill="1" applyBorder="1" applyAlignment="1">
      <alignment vertical="center"/>
    </xf>
    <xf numFmtId="0" fontId="2" fillId="4" borderId="0" xfId="0" applyFont="1" applyFill="1" applyAlignment="1">
      <alignment vertical="center"/>
    </xf>
    <xf numFmtId="0" fontId="0" fillId="0" borderId="3" xfId="0" applyBorder="1"/>
    <xf numFmtId="0" fontId="5" fillId="4" borderId="0" xfId="0" applyFont="1" applyFill="1" applyAlignment="1">
      <alignment vertical="center"/>
    </xf>
    <xf numFmtId="0" fontId="2" fillId="4" borderId="0" xfId="0" applyFont="1" applyFill="1" applyAlignment="1">
      <alignment horizontal="left" vertical="center"/>
    </xf>
    <xf numFmtId="0" fontId="15" fillId="4" borderId="0" xfId="0" applyFont="1" applyFill="1" applyAlignment="1">
      <alignment vertical="center"/>
    </xf>
    <xf numFmtId="0" fontId="16" fillId="4" borderId="0" xfId="0" applyFont="1" applyFill="1"/>
    <xf numFmtId="0" fontId="0" fillId="4" borderId="34" xfId="0" applyFill="1" applyBorder="1"/>
    <xf numFmtId="0" fontId="0" fillId="4" borderId="35" xfId="0" applyFill="1" applyBorder="1"/>
    <xf numFmtId="0" fontId="0" fillId="4" borderId="36" xfId="0" applyFill="1" applyBorder="1"/>
    <xf numFmtId="0" fontId="20" fillId="0" borderId="0" xfId="0" applyFont="1" applyAlignment="1">
      <alignment horizontal="center" wrapText="1"/>
    </xf>
    <xf numFmtId="0" fontId="5" fillId="4" borderId="0" xfId="0" applyFont="1" applyFill="1" applyAlignment="1">
      <alignment horizontal="center" vertical="center" wrapText="1"/>
    </xf>
    <xf numFmtId="0" fontId="4" fillId="4" borderId="0" xfId="0" applyFont="1" applyFill="1"/>
    <xf numFmtId="0" fontId="5" fillId="4" borderId="0" xfId="0" applyFont="1" applyFill="1" applyAlignment="1">
      <alignment horizontal="left" vertical="center"/>
    </xf>
    <xf numFmtId="9" fontId="5" fillId="4" borderId="0" xfId="0" applyNumberFormat="1" applyFont="1" applyFill="1" applyAlignment="1">
      <alignment horizontal="center" vertical="center"/>
    </xf>
    <xf numFmtId="0" fontId="4" fillId="4" borderId="0" xfId="0" applyFont="1" applyFill="1" applyAlignment="1">
      <alignment horizontal="left"/>
    </xf>
    <xf numFmtId="0" fontId="22" fillId="0" borderId="0" xfId="2" applyFont="1" applyAlignment="1" applyProtection="1">
      <alignment vertical="center"/>
      <protection locked="0"/>
    </xf>
    <xf numFmtId="49" fontId="24" fillId="4" borderId="0" xfId="2" applyNumberFormat="1" applyFont="1" applyFill="1" applyAlignment="1" applyProtection="1">
      <alignment vertical="center"/>
      <protection locked="0"/>
    </xf>
    <xf numFmtId="0" fontId="24" fillId="4" borderId="0" xfId="2" applyFont="1" applyFill="1" applyAlignment="1" applyProtection="1">
      <alignment vertical="center"/>
      <protection locked="0"/>
    </xf>
    <xf numFmtId="9" fontId="26" fillId="4" borderId="0" xfId="2" applyNumberFormat="1" applyFont="1" applyFill="1" applyAlignment="1" applyProtection="1">
      <alignment vertical="center"/>
      <protection locked="0"/>
    </xf>
    <xf numFmtId="9" fontId="22" fillId="4" borderId="0" xfId="1" applyFont="1" applyFill="1" applyAlignment="1" applyProtection="1">
      <alignment vertical="center"/>
      <protection locked="0"/>
    </xf>
    <xf numFmtId="9" fontId="22" fillId="4" borderId="0" xfId="2" applyNumberFormat="1" applyFont="1" applyFill="1" applyAlignment="1" applyProtection="1">
      <alignment vertical="center"/>
      <protection locked="0"/>
    </xf>
    <xf numFmtId="0" fontId="26" fillId="4" borderId="0" xfId="2" applyFont="1" applyFill="1" applyAlignment="1" applyProtection="1">
      <alignment vertical="center"/>
      <protection locked="0"/>
    </xf>
    <xf numFmtId="0" fontId="26" fillId="0" borderId="0" xfId="3" applyFont="1"/>
    <xf numFmtId="0" fontId="7" fillId="4" borderId="0" xfId="0" applyFont="1" applyFill="1"/>
    <xf numFmtId="0" fontId="7" fillId="0" borderId="0" xfId="0" applyFont="1"/>
    <xf numFmtId="0" fontId="22" fillId="4" borderId="0" xfId="2" applyFont="1" applyFill="1" applyAlignment="1" applyProtection="1">
      <alignment vertical="center"/>
      <protection locked="0"/>
    </xf>
    <xf numFmtId="0" fontId="26" fillId="4" borderId="0" xfId="3" applyFont="1" applyFill="1"/>
    <xf numFmtId="0" fontId="26" fillId="4" borderId="59" xfId="3" applyFont="1" applyFill="1" applyBorder="1" applyAlignment="1">
      <alignment vertical="top" wrapText="1"/>
    </xf>
    <xf numFmtId="0" fontId="26" fillId="4" borderId="0" xfId="3" applyFont="1" applyFill="1" applyAlignment="1">
      <alignment vertical="top" wrapText="1"/>
    </xf>
    <xf numFmtId="0" fontId="26" fillId="4" borderId="60" xfId="3" applyFont="1" applyFill="1" applyBorder="1" applyAlignment="1">
      <alignment vertical="top" wrapText="1"/>
    </xf>
    <xf numFmtId="0" fontId="26" fillId="4" borderId="59" xfId="3" applyFont="1" applyFill="1" applyBorder="1" applyAlignment="1">
      <alignment horizontal="left" vertical="top"/>
    </xf>
    <xf numFmtId="0" fontId="26" fillId="4" borderId="60" xfId="3" applyFont="1" applyFill="1" applyBorder="1" applyAlignment="1">
      <alignment horizontal="left" vertical="top"/>
    </xf>
    <xf numFmtId="0" fontId="26" fillId="4" borderId="59" xfId="3" applyFont="1" applyFill="1" applyBorder="1"/>
    <xf numFmtId="0" fontId="34" fillId="4" borderId="0" xfId="4" applyFont="1" applyFill="1" applyAlignment="1">
      <alignment horizontal="left" vertical="top" wrapText="1" readingOrder="1"/>
    </xf>
    <xf numFmtId="0" fontId="26" fillId="4" borderId="60" xfId="3" applyFont="1" applyFill="1" applyBorder="1"/>
    <xf numFmtId="0" fontId="26" fillId="4" borderId="72" xfId="3" applyFont="1" applyFill="1" applyBorder="1"/>
    <xf numFmtId="0" fontId="26" fillId="4" borderId="73" xfId="3" applyFont="1" applyFill="1" applyBorder="1"/>
    <xf numFmtId="0" fontId="26" fillId="4" borderId="74" xfId="3" applyFont="1" applyFill="1" applyBorder="1"/>
    <xf numFmtId="0" fontId="34" fillId="4" borderId="0" xfId="0" applyFont="1" applyFill="1" applyAlignment="1">
      <alignment horizontal="left" vertical="center" wrapText="1"/>
    </xf>
    <xf numFmtId="0" fontId="35" fillId="4" borderId="0" xfId="0" applyFont="1" applyFill="1" applyAlignment="1">
      <alignment horizontal="left" vertical="top" wrapText="1"/>
    </xf>
    <xf numFmtId="0" fontId="26" fillId="4" borderId="0" xfId="3" quotePrefix="1" applyFont="1" applyFill="1" applyAlignment="1">
      <alignment horizontal="left" vertical="center" wrapText="1"/>
    </xf>
    <xf numFmtId="0" fontId="32" fillId="4" borderId="0" xfId="3" applyFont="1" applyFill="1" applyAlignment="1">
      <alignment horizontal="left" vertical="center" wrapText="1"/>
    </xf>
    <xf numFmtId="0" fontId="26" fillId="4" borderId="0" xfId="3" applyFont="1" applyFill="1" applyAlignment="1">
      <alignment horizontal="left" vertical="center" wrapText="1"/>
    </xf>
    <xf numFmtId="0" fontId="7" fillId="4" borderId="0" xfId="0" applyFont="1" applyFill="1" applyAlignment="1">
      <alignment vertical="center"/>
    </xf>
    <xf numFmtId="0" fontId="7" fillId="0" borderId="0" xfId="0" applyFont="1" applyAlignment="1">
      <alignment vertical="center"/>
    </xf>
    <xf numFmtId="0" fontId="42" fillId="0" borderId="3" xfId="0" applyFont="1" applyBorder="1" applyAlignment="1">
      <alignment horizontal="left" vertical="center" wrapText="1"/>
    </xf>
    <xf numFmtId="0" fontId="9" fillId="12" borderId="3" xfId="0" applyFont="1" applyFill="1" applyBorder="1" applyAlignment="1">
      <alignment horizontal="center" vertical="center" wrapText="1"/>
    </xf>
    <xf numFmtId="0" fontId="45" fillId="0" borderId="0" xfId="0" applyFont="1" applyAlignment="1">
      <alignment horizontal="center" wrapText="1"/>
    </xf>
    <xf numFmtId="0" fontId="9" fillId="14"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41" fillId="0" borderId="3" xfId="0" applyFont="1" applyBorder="1" applyAlignment="1">
      <alignment horizontal="center" vertical="center"/>
    </xf>
    <xf numFmtId="0" fontId="47" fillId="0" borderId="0" xfId="0" applyFont="1" applyAlignment="1">
      <alignment horizontal="center"/>
    </xf>
    <xf numFmtId="0" fontId="41" fillId="0" borderId="0" xfId="0" applyFont="1" applyAlignment="1">
      <alignment horizontal="center" vertical="center" wrapText="1"/>
    </xf>
    <xf numFmtId="0" fontId="25" fillId="4" borderId="0" xfId="2" applyFont="1" applyFill="1" applyAlignment="1">
      <alignment vertical="center" wrapText="1"/>
    </xf>
    <xf numFmtId="0" fontId="35" fillId="4" borderId="0" xfId="2" applyFont="1" applyFill="1" applyAlignment="1">
      <alignment vertical="center" wrapText="1"/>
    </xf>
    <xf numFmtId="0" fontId="38" fillId="0" borderId="9" xfId="0" applyFont="1" applyBorder="1" applyAlignment="1" applyProtection="1">
      <alignment horizontal="center" vertical="center" wrapText="1"/>
      <protection hidden="1"/>
    </xf>
    <xf numFmtId="0" fontId="7" fillId="0" borderId="9" xfId="0" applyFont="1" applyBorder="1" applyAlignment="1" applyProtection="1">
      <alignment horizontal="left" vertical="center" wrapText="1"/>
      <protection locked="0"/>
    </xf>
    <xf numFmtId="0" fontId="19" fillId="2" borderId="82" xfId="2" applyFont="1" applyFill="1" applyBorder="1" applyAlignment="1">
      <alignment horizontal="center" vertical="center"/>
    </xf>
    <xf numFmtId="0" fontId="19" fillId="2" borderId="82" xfId="2" applyFont="1" applyFill="1" applyBorder="1" applyAlignment="1">
      <alignment horizontal="center" vertical="center" wrapText="1"/>
    </xf>
    <xf numFmtId="0" fontId="1" fillId="0" borderId="2" xfId="0" applyFont="1" applyBorder="1" applyAlignment="1" applyProtection="1">
      <alignment horizontal="left" vertical="center" wrapText="1"/>
      <protection hidden="1"/>
    </xf>
    <xf numFmtId="0" fontId="0" fillId="0" borderId="2" xfId="0" applyBorder="1" applyAlignment="1" applyProtection="1">
      <alignment horizontal="center" vertical="center"/>
      <protection hidden="1"/>
    </xf>
    <xf numFmtId="0" fontId="39" fillId="0" borderId="84" xfId="0" applyFont="1" applyBorder="1" applyAlignment="1" applyProtection="1">
      <alignment vertical="center" wrapText="1"/>
      <protection hidden="1"/>
    </xf>
    <xf numFmtId="0" fontId="1" fillId="0" borderId="3" xfId="0" applyFont="1" applyBorder="1" applyAlignment="1" applyProtection="1">
      <alignment horizontal="left" vertical="center" wrapText="1"/>
      <protection hidden="1"/>
    </xf>
    <xf numFmtId="0" fontId="0" fillId="0" borderId="3" xfId="0" applyBorder="1" applyAlignment="1" applyProtection="1">
      <alignment horizontal="center" vertical="center"/>
      <protection hidden="1"/>
    </xf>
    <xf numFmtId="0" fontId="39" fillId="0" borderId="85" xfId="0" applyFont="1" applyBorder="1" applyAlignment="1" applyProtection="1">
      <alignment vertical="center" wrapText="1"/>
      <protection hidden="1"/>
    </xf>
    <xf numFmtId="0" fontId="1" fillId="0" borderId="4" xfId="0" applyFont="1" applyBorder="1" applyAlignment="1" applyProtection="1">
      <alignment horizontal="left" vertical="center" wrapText="1"/>
      <protection hidden="1"/>
    </xf>
    <xf numFmtId="0" fontId="0" fillId="0" borderId="4" xfId="0" applyBorder="1" applyAlignment="1" applyProtection="1">
      <alignment horizontal="center" vertical="center"/>
      <protection hidden="1"/>
    </xf>
    <xf numFmtId="0" fontId="39" fillId="0" borderId="86" xfId="0" applyFont="1" applyBorder="1" applyAlignment="1" applyProtection="1">
      <alignment vertical="center" wrapText="1"/>
      <protection hidden="1"/>
    </xf>
    <xf numFmtId="0" fontId="1" fillId="0" borderId="7" xfId="0" applyFont="1" applyBorder="1" applyAlignment="1" applyProtection="1">
      <alignment horizontal="left" vertical="center" wrapText="1"/>
      <protection hidden="1"/>
    </xf>
    <xf numFmtId="0" fontId="0" fillId="0" borderId="7" xfId="0" applyBorder="1" applyAlignment="1" applyProtection="1">
      <alignment horizontal="center" vertical="center"/>
      <protection hidden="1"/>
    </xf>
    <xf numFmtId="0" fontId="39" fillId="0" borderId="5" xfId="0" applyFont="1" applyBorder="1" applyAlignment="1" applyProtection="1">
      <alignment vertical="center" wrapText="1"/>
      <protection hidden="1"/>
    </xf>
    <xf numFmtId="0" fontId="1" fillId="0" borderId="6" xfId="0" applyFont="1" applyBorder="1" applyAlignment="1" applyProtection="1">
      <alignment horizontal="left" vertical="center" wrapText="1"/>
      <protection hidden="1"/>
    </xf>
    <xf numFmtId="0" fontId="0" fillId="0" borderId="6" xfId="0" applyBorder="1" applyAlignment="1" applyProtection="1">
      <alignment horizontal="center" vertical="center"/>
      <protection hidden="1"/>
    </xf>
    <xf numFmtId="0" fontId="39" fillId="0" borderId="6" xfId="0" applyFont="1" applyBorder="1" applyAlignment="1" applyProtection="1">
      <alignment vertical="center" wrapText="1"/>
      <protection hidden="1"/>
    </xf>
    <xf numFmtId="0" fontId="39" fillId="0" borderId="3" xfId="0" applyFont="1" applyBorder="1" applyAlignment="1" applyProtection="1">
      <alignment vertical="center" wrapText="1"/>
      <protection hidden="1"/>
    </xf>
    <xf numFmtId="0" fontId="39" fillId="0" borderId="7" xfId="0" applyFont="1" applyBorder="1" applyAlignment="1" applyProtection="1">
      <alignment vertical="center" wrapText="1"/>
      <protection hidden="1"/>
    </xf>
    <xf numFmtId="0" fontId="43" fillId="0" borderId="22" xfId="0" applyFont="1" applyBorder="1" applyAlignment="1" applyProtection="1">
      <alignment horizontal="center" vertical="center"/>
      <protection hidden="1"/>
    </xf>
    <xf numFmtId="9" fontId="0" fillId="0" borderId="90" xfId="0" applyNumberFormat="1" applyBorder="1" applyAlignment="1" applyProtection="1">
      <alignment horizontal="center" vertical="center"/>
      <protection hidden="1"/>
    </xf>
    <xf numFmtId="9" fontId="0" fillId="0" borderId="91" xfId="0" applyNumberFormat="1" applyBorder="1" applyAlignment="1" applyProtection="1">
      <alignment horizontal="center" vertical="center"/>
      <protection hidden="1"/>
    </xf>
    <xf numFmtId="9" fontId="0" fillId="0" borderId="92" xfId="0" applyNumberFormat="1" applyBorder="1" applyAlignment="1" applyProtection="1">
      <alignment horizontal="center" vertical="center"/>
      <protection hidden="1"/>
    </xf>
    <xf numFmtId="9" fontId="0" fillId="0" borderId="93" xfId="0" applyNumberFormat="1" applyBorder="1" applyAlignment="1" applyProtection="1">
      <alignment horizontal="center" vertical="center"/>
      <protection hidden="1"/>
    </xf>
    <xf numFmtId="9" fontId="0" fillId="0" borderId="6" xfId="0" applyNumberFormat="1" applyBorder="1" applyAlignment="1" applyProtection="1">
      <alignment horizontal="center" vertical="center"/>
      <protection hidden="1"/>
    </xf>
    <xf numFmtId="9" fontId="0" fillId="0" borderId="3" xfId="0" applyNumberFormat="1" applyBorder="1" applyAlignment="1" applyProtection="1">
      <alignment horizontal="center" vertical="center"/>
      <protection hidden="1"/>
    </xf>
    <xf numFmtId="9" fontId="0" fillId="0" borderId="7" xfId="0" applyNumberFormat="1" applyBorder="1" applyAlignment="1" applyProtection="1">
      <alignment horizontal="center" vertical="center"/>
      <protection hidden="1"/>
    </xf>
    <xf numFmtId="9" fontId="41" fillId="2" borderId="26" xfId="0" applyNumberFormat="1" applyFont="1" applyFill="1" applyBorder="1" applyAlignment="1" applyProtection="1">
      <alignment horizontal="center" vertical="center"/>
      <protection hidden="1"/>
    </xf>
    <xf numFmtId="0" fontId="41" fillId="0" borderId="3" xfId="0" applyFont="1" applyBorder="1" applyAlignment="1" applyProtection="1">
      <alignment horizontal="center" vertical="center"/>
      <protection hidden="1"/>
    </xf>
    <xf numFmtId="9" fontId="14" fillId="13" borderId="3" xfId="0" applyNumberFormat="1" applyFont="1" applyFill="1" applyBorder="1" applyAlignment="1" applyProtection="1">
      <alignment horizontal="center" vertical="center"/>
      <protection hidden="1"/>
    </xf>
    <xf numFmtId="49" fontId="49" fillId="4" borderId="2" xfId="0" applyNumberFormat="1" applyFont="1" applyFill="1" applyBorder="1" applyAlignment="1" applyProtection="1">
      <alignment horizontal="center" vertical="center" wrapText="1"/>
      <protection locked="0"/>
    </xf>
    <xf numFmtId="49" fontId="49" fillId="4" borderId="3" xfId="0" applyNumberFormat="1" applyFont="1" applyFill="1" applyBorder="1" applyAlignment="1" applyProtection="1">
      <alignment horizontal="center" vertical="center" wrapText="1"/>
      <protection locked="0"/>
    </xf>
    <xf numFmtId="49" fontId="49" fillId="4" borderId="4" xfId="0" applyNumberFormat="1" applyFont="1" applyFill="1" applyBorder="1" applyAlignment="1" applyProtection="1">
      <alignment horizontal="center" vertical="center" wrapText="1"/>
      <protection locked="0"/>
    </xf>
    <xf numFmtId="49" fontId="18" fillId="5" borderId="7" xfId="0" applyNumberFormat="1" applyFont="1" applyFill="1" applyBorder="1" applyAlignment="1" applyProtection="1">
      <alignment horizontal="center" vertical="center" wrapText="1"/>
      <protection hidden="1"/>
    </xf>
    <xf numFmtId="0" fontId="18" fillId="5" borderId="7" xfId="0" applyFont="1" applyFill="1" applyBorder="1" applyAlignment="1" applyProtection="1">
      <alignment horizontal="center" vertical="center" wrapText="1"/>
      <protection hidden="1"/>
    </xf>
    <xf numFmtId="0" fontId="18" fillId="5" borderId="10" xfId="0" applyFont="1" applyFill="1" applyBorder="1" applyAlignment="1" applyProtection="1">
      <alignment horizontal="center" vertical="center" wrapText="1"/>
      <protection hidden="1"/>
    </xf>
    <xf numFmtId="0" fontId="18" fillId="5" borderId="81" xfId="0" applyFont="1" applyFill="1" applyBorder="1" applyAlignment="1" applyProtection="1">
      <alignment horizontal="center" vertical="center" wrapText="1"/>
      <protection hidden="1"/>
    </xf>
    <xf numFmtId="0" fontId="0" fillId="0" borderId="0" xfId="0" applyProtection="1">
      <protection hidden="1"/>
    </xf>
    <xf numFmtId="9" fontId="0" fillId="0" borderId="0" xfId="1" applyFont="1" applyProtection="1">
      <protection hidden="1"/>
    </xf>
    <xf numFmtId="10" fontId="0" fillId="0" borderId="0" xfId="1" applyNumberFormat="1" applyFont="1" applyProtection="1">
      <protection hidden="1"/>
    </xf>
    <xf numFmtId="0" fontId="52" fillId="10" borderId="3" xfId="0" applyFont="1" applyFill="1" applyBorder="1" applyAlignment="1">
      <alignment horizontal="center" vertical="center"/>
    </xf>
    <xf numFmtId="0" fontId="46" fillId="10" borderId="31" xfId="0" applyFont="1" applyFill="1" applyBorder="1" applyAlignment="1">
      <alignment horizontal="center" vertical="center" wrapText="1"/>
    </xf>
    <xf numFmtId="0" fontId="7" fillId="0" borderId="79" xfId="0" applyFont="1" applyBorder="1" applyAlignment="1" applyProtection="1">
      <alignment horizontal="left" vertical="center" wrapText="1"/>
      <protection locked="0"/>
    </xf>
    <xf numFmtId="0" fontId="7" fillId="0" borderId="9" xfId="0" applyFont="1" applyBorder="1" applyAlignment="1" applyProtection="1">
      <alignment horizontal="justify" vertical="center" wrapText="1"/>
      <protection locked="0"/>
    </xf>
    <xf numFmtId="0" fontId="7" fillId="0" borderId="6" xfId="0" applyFont="1" applyBorder="1" applyAlignment="1" applyProtection="1">
      <alignment horizontal="left" vertical="center" wrapText="1"/>
      <protection locked="0"/>
    </xf>
    <xf numFmtId="0" fontId="7" fillId="0" borderId="80" xfId="0" applyFont="1" applyBorder="1" applyAlignment="1" applyProtection="1">
      <alignment horizontal="left" vertical="center" wrapText="1"/>
      <protection locked="0"/>
    </xf>
    <xf numFmtId="0" fontId="7" fillId="0" borderId="80" xfId="0" applyFont="1" applyBorder="1" applyAlignment="1" applyProtection="1">
      <alignment horizontal="justify" vertical="center" wrapText="1"/>
      <protection locked="0"/>
    </xf>
    <xf numFmtId="0" fontId="7" fillId="0" borderId="79" xfId="0" applyFont="1" applyBorder="1" applyAlignment="1" applyProtection="1">
      <alignment horizontal="justify" vertical="center" wrapText="1"/>
      <protection locked="0"/>
    </xf>
    <xf numFmtId="49" fontId="7" fillId="0" borderId="0" xfId="0" applyNumberFormat="1" applyFont="1" applyAlignment="1">
      <alignment horizontal="center" vertical="top"/>
    </xf>
    <xf numFmtId="0" fontId="7" fillId="0" borderId="0" xfId="0" applyFont="1" applyAlignment="1">
      <alignment vertical="top"/>
    </xf>
    <xf numFmtId="49" fontId="56" fillId="5" borderId="7" xfId="0" applyNumberFormat="1" applyFont="1" applyFill="1" applyBorder="1" applyAlignment="1">
      <alignment horizontal="center" vertical="center" wrapText="1"/>
    </xf>
    <xf numFmtId="0" fontId="56" fillId="5" borderId="7" xfId="0" applyFont="1" applyFill="1" applyBorder="1" applyAlignment="1">
      <alignment horizontal="center" vertical="center" wrapText="1"/>
    </xf>
    <xf numFmtId="0" fontId="56" fillId="5" borderId="10" xfId="0" applyFont="1" applyFill="1" applyBorder="1" applyAlignment="1">
      <alignment horizontal="center" vertical="center" wrapText="1"/>
    </xf>
    <xf numFmtId="0" fontId="56" fillId="5" borderId="5" xfId="0" applyFont="1" applyFill="1" applyBorder="1" applyAlignment="1">
      <alignment horizontal="center" vertical="center" wrapText="1"/>
    </xf>
    <xf numFmtId="0" fontId="7" fillId="0" borderId="0" xfId="0" applyFont="1" applyAlignment="1" applyProtection="1">
      <alignment horizontal="center" vertical="top"/>
      <protection hidden="1"/>
    </xf>
    <xf numFmtId="0" fontId="42" fillId="0" borderId="2" xfId="0" applyFont="1" applyBorder="1" applyAlignment="1">
      <alignment horizontal="center" vertical="center" wrapText="1"/>
    </xf>
    <xf numFmtId="0" fontId="42" fillId="0" borderId="2" xfId="0" applyFont="1" applyBorder="1" applyAlignment="1">
      <alignment horizontal="left" vertical="center" wrapText="1"/>
    </xf>
    <xf numFmtId="0" fontId="38" fillId="0" borderId="79" xfId="0" applyFont="1" applyBorder="1" applyAlignment="1" applyProtection="1">
      <alignment horizontal="center" vertical="center" wrapText="1"/>
      <protection hidden="1"/>
    </xf>
    <xf numFmtId="0" fontId="42" fillId="0" borderId="3" xfId="0" applyFont="1" applyBorder="1" applyAlignment="1">
      <alignment horizontal="center" vertical="center" wrapText="1"/>
    </xf>
    <xf numFmtId="0" fontId="57" fillId="0" borderId="3" xfId="0" applyFont="1" applyBorder="1" applyAlignment="1" applyProtection="1">
      <alignment horizontal="center" vertical="center" wrapText="1"/>
      <protection locked="0"/>
    </xf>
    <xf numFmtId="0" fontId="7" fillId="0" borderId="73" xfId="0" applyFont="1" applyBorder="1" applyAlignment="1" applyProtection="1">
      <alignment horizontal="center" vertical="top"/>
      <protection hidden="1"/>
    </xf>
    <xf numFmtId="0" fontId="42" fillId="0" borderId="7" xfId="0" applyFont="1" applyBorder="1" applyAlignment="1">
      <alignment horizontal="center" vertical="center" wrapText="1"/>
    </xf>
    <xf numFmtId="0" fontId="42" fillId="0" borderId="7" xfId="0" applyFont="1" applyBorder="1" applyAlignment="1">
      <alignment horizontal="left" vertical="center" wrapText="1"/>
    </xf>
    <xf numFmtId="0" fontId="57" fillId="0" borderId="96" xfId="0" applyFont="1" applyBorder="1" applyAlignment="1" applyProtection="1">
      <alignment horizontal="center" vertical="center" wrapText="1"/>
      <protection locked="0"/>
    </xf>
    <xf numFmtId="0" fontId="38" fillId="0" borderId="80" xfId="0" applyFont="1" applyBorder="1" applyAlignment="1" applyProtection="1">
      <alignment horizontal="center" vertical="center" wrapText="1"/>
      <protection hidden="1"/>
    </xf>
    <xf numFmtId="49" fontId="7" fillId="0" borderId="73" xfId="0" applyNumberFormat="1" applyFont="1" applyBorder="1" applyAlignment="1">
      <alignment horizontal="center" vertical="top"/>
    </xf>
    <xf numFmtId="0" fontId="42" fillId="0" borderId="95" xfId="0" applyFont="1" applyBorder="1" applyAlignment="1">
      <alignment horizontal="center" vertical="center" wrapText="1"/>
    </xf>
    <xf numFmtId="0" fontId="42" fillId="0" borderId="95" xfId="0" applyFont="1" applyBorder="1" applyAlignment="1">
      <alignment horizontal="left" vertical="center" wrapText="1"/>
    </xf>
    <xf numFmtId="0" fontId="57" fillId="0" borderId="6" xfId="0" applyFont="1" applyBorder="1" applyAlignment="1" applyProtection="1">
      <alignment horizontal="center" vertical="center" wrapText="1"/>
      <protection locked="0"/>
    </xf>
    <xf numFmtId="0" fontId="38" fillId="0" borderId="94" xfId="0" applyFont="1" applyBorder="1" applyAlignment="1" applyProtection="1">
      <alignment horizontal="center" vertical="center" wrapText="1"/>
      <protection hidden="1"/>
    </xf>
    <xf numFmtId="0" fontId="42" fillId="0" borderId="4" xfId="0" applyFont="1" applyBorder="1" applyAlignment="1">
      <alignment horizontal="center" vertical="center" wrapText="1"/>
    </xf>
    <xf numFmtId="0" fontId="42" fillId="0" borderId="4" xfId="0" applyFont="1" applyBorder="1" applyAlignment="1">
      <alignment horizontal="left" vertical="center" wrapText="1"/>
    </xf>
    <xf numFmtId="0" fontId="57" fillId="0" borderId="4" xfId="0" applyFont="1" applyBorder="1" applyAlignment="1" applyProtection="1">
      <alignment horizontal="center" vertical="center" wrapText="1"/>
      <protection locked="0"/>
    </xf>
    <xf numFmtId="0" fontId="57" fillId="0" borderId="2" xfId="0" applyFont="1" applyBorder="1" applyAlignment="1" applyProtection="1">
      <alignment horizontal="center" vertical="center" wrapText="1"/>
      <protection locked="0"/>
    </xf>
    <xf numFmtId="0" fontId="42" fillId="0" borderId="2" xfId="0" applyFont="1" applyBorder="1" applyAlignment="1">
      <alignment horizontal="justify" vertical="center" wrapText="1"/>
    </xf>
    <xf numFmtId="0" fontId="42" fillId="0" borderId="3" xfId="0" applyFont="1" applyBorder="1" applyAlignment="1">
      <alignment horizontal="justify" vertical="center" wrapText="1"/>
    </xf>
    <xf numFmtId="49" fontId="42" fillId="9" borderId="14" xfId="0" applyNumberFormat="1" applyFont="1" applyFill="1" applyBorder="1" applyAlignment="1">
      <alignment horizontal="center" vertical="center" wrapText="1"/>
    </xf>
    <xf numFmtId="49" fontId="42" fillId="9" borderId="11" xfId="0" applyNumberFormat="1" applyFont="1" applyFill="1" applyBorder="1" applyAlignment="1">
      <alignment horizontal="center" vertical="center" wrapText="1"/>
    </xf>
    <xf numFmtId="0" fontId="42" fillId="9" borderId="11" xfId="0" applyFont="1" applyFill="1" applyBorder="1" applyAlignment="1">
      <alignment horizontal="center" vertical="top" wrapText="1"/>
    </xf>
    <xf numFmtId="0" fontId="7" fillId="0" borderId="0" xfId="0" applyFont="1" applyAlignment="1" applyProtection="1">
      <alignment horizontal="center" vertical="center"/>
      <protection hidden="1"/>
    </xf>
    <xf numFmtId="49" fontId="7" fillId="0" borderId="0" xfId="0" applyNumberFormat="1" applyFont="1" applyAlignment="1" applyProtection="1">
      <alignment horizontal="center" vertical="center"/>
      <protection hidden="1"/>
    </xf>
    <xf numFmtId="49" fontId="7" fillId="0" borderId="73" xfId="0" applyNumberFormat="1" applyFont="1" applyBorder="1" applyAlignment="1" applyProtection="1">
      <alignment horizontal="center" vertical="center"/>
      <protection hidden="1"/>
    </xf>
    <xf numFmtId="0" fontId="7" fillId="0" borderId="73" xfId="0" applyFont="1" applyBorder="1" applyAlignment="1" applyProtection="1">
      <alignment horizontal="center" vertical="center"/>
      <protection hidden="1"/>
    </xf>
    <xf numFmtId="0" fontId="7" fillId="0" borderId="0" xfId="0" applyFont="1" applyAlignment="1" applyProtection="1">
      <alignment vertical="center"/>
      <protection hidden="1"/>
    </xf>
    <xf numFmtId="0" fontId="7" fillId="7" borderId="9" xfId="0" applyFont="1" applyFill="1" applyBorder="1" applyAlignment="1" applyProtection="1">
      <alignment horizontal="left" vertical="center" wrapText="1"/>
      <protection locked="0"/>
    </xf>
    <xf numFmtId="0" fontId="7" fillId="0" borderId="96" xfId="0" applyFont="1" applyBorder="1" applyAlignment="1" applyProtection="1">
      <alignment horizontal="left" vertical="center" wrapText="1"/>
      <protection locked="0"/>
    </xf>
    <xf numFmtId="0" fontId="42" fillId="7" borderId="3" xfId="0" applyFont="1" applyFill="1" applyBorder="1" applyAlignment="1">
      <alignment horizontal="left" vertical="center" wrapText="1"/>
    </xf>
    <xf numFmtId="0" fontId="57" fillId="7" borderId="3" xfId="0" applyFont="1" applyFill="1" applyBorder="1" applyAlignment="1" applyProtection="1">
      <alignment horizontal="center" vertical="center" wrapText="1"/>
      <protection locked="0"/>
    </xf>
    <xf numFmtId="0" fontId="7" fillId="7" borderId="9" xfId="0" applyFont="1" applyFill="1" applyBorder="1" applyAlignment="1" applyProtection="1">
      <alignment horizontal="justify" vertical="center" wrapText="1"/>
      <protection locked="0"/>
    </xf>
    <xf numFmtId="49" fontId="56" fillId="5" borderId="0" xfId="0" applyNumberFormat="1" applyFont="1" applyFill="1" applyAlignment="1">
      <alignment horizontal="center" vertical="center"/>
    </xf>
    <xf numFmtId="0" fontId="42" fillId="11" borderId="11" xfId="0" applyFont="1" applyFill="1" applyBorder="1" applyAlignment="1">
      <alignment horizontal="center" vertical="center" wrapText="1"/>
    </xf>
    <xf numFmtId="0" fontId="42" fillId="11" borderId="12" xfId="0" applyFont="1" applyFill="1" applyBorder="1" applyAlignment="1">
      <alignment horizontal="center" vertical="center" wrapText="1"/>
    </xf>
    <xf numFmtId="0" fontId="42" fillId="11" borderId="13" xfId="0" applyFont="1" applyFill="1" applyBorder="1" applyAlignment="1">
      <alignment horizontal="center" vertical="center" wrapText="1"/>
    </xf>
    <xf numFmtId="49" fontId="42" fillId="11" borderId="14" xfId="0" applyNumberFormat="1" applyFont="1" applyFill="1" applyBorder="1" applyAlignment="1">
      <alignment horizontal="center" vertical="center" wrapText="1"/>
    </xf>
    <xf numFmtId="49" fontId="42" fillId="11" borderId="15" xfId="0" applyNumberFormat="1" applyFont="1" applyFill="1" applyBorder="1" applyAlignment="1">
      <alignment horizontal="center" vertical="center" wrapText="1"/>
    </xf>
    <xf numFmtId="49" fontId="42" fillId="11" borderId="16" xfId="0" applyNumberFormat="1" applyFont="1" applyFill="1" applyBorder="1" applyAlignment="1">
      <alignment horizontal="center" vertical="center" wrapText="1"/>
    </xf>
    <xf numFmtId="0" fontId="42" fillId="9" borderId="11" xfId="0" applyFont="1" applyFill="1" applyBorder="1" applyAlignment="1">
      <alignment horizontal="center" vertical="center" wrapText="1"/>
    </xf>
    <xf numFmtId="0" fontId="42" fillId="9" borderId="12" xfId="0" applyFont="1" applyFill="1" applyBorder="1" applyAlignment="1">
      <alignment horizontal="center" vertical="center" wrapText="1"/>
    </xf>
    <xf numFmtId="0" fontId="42" fillId="9" borderId="13" xfId="0" applyFont="1" applyFill="1" applyBorder="1" applyAlignment="1">
      <alignment horizontal="center" vertical="center" wrapText="1"/>
    </xf>
    <xf numFmtId="49" fontId="42" fillId="9" borderId="14" xfId="0" applyNumberFormat="1" applyFont="1" applyFill="1" applyBorder="1" applyAlignment="1">
      <alignment horizontal="center" vertical="center" wrapText="1"/>
    </xf>
    <xf numFmtId="49" fontId="42" fillId="9" borderId="15" xfId="0" applyNumberFormat="1" applyFont="1" applyFill="1" applyBorder="1" applyAlignment="1">
      <alignment horizontal="center" vertical="center" wrapText="1"/>
    </xf>
    <xf numFmtId="49" fontId="42" fillId="9" borderId="16" xfId="0" applyNumberFormat="1" applyFont="1" applyFill="1" applyBorder="1" applyAlignment="1">
      <alignment horizontal="center" vertical="center" wrapText="1"/>
    </xf>
    <xf numFmtId="0" fontId="42" fillId="6" borderId="11" xfId="0" applyFont="1" applyFill="1" applyBorder="1" applyAlignment="1">
      <alignment horizontal="center" vertical="center" wrapText="1"/>
    </xf>
    <xf numFmtId="0" fontId="42" fillId="6" borderId="12" xfId="0" applyFont="1" applyFill="1" applyBorder="1" applyAlignment="1">
      <alignment horizontal="center" vertical="center" wrapText="1"/>
    </xf>
    <xf numFmtId="0" fontId="42" fillId="6" borderId="13" xfId="0" applyFont="1" applyFill="1" applyBorder="1" applyAlignment="1">
      <alignment horizontal="center" vertical="center" wrapText="1"/>
    </xf>
    <xf numFmtId="49" fontId="7" fillId="6" borderId="14" xfId="0" applyNumberFormat="1" applyFont="1" applyFill="1" applyBorder="1" applyAlignment="1">
      <alignment horizontal="center" vertical="center" wrapText="1"/>
    </xf>
    <xf numFmtId="49" fontId="7" fillId="6" borderId="15" xfId="0" applyNumberFormat="1" applyFont="1" applyFill="1" applyBorder="1" applyAlignment="1">
      <alignment horizontal="center" vertical="center" wrapText="1"/>
    </xf>
    <xf numFmtId="49" fontId="7" fillId="6" borderId="16" xfId="0" applyNumberFormat="1" applyFont="1" applyFill="1" applyBorder="1" applyAlignment="1">
      <alignment horizontal="center" vertical="center" wrapText="1"/>
    </xf>
    <xf numFmtId="49" fontId="7" fillId="10" borderId="14" xfId="0" applyNumberFormat="1" applyFont="1" applyFill="1" applyBorder="1" applyAlignment="1">
      <alignment horizontal="center" vertical="center" wrapText="1"/>
    </xf>
    <xf numFmtId="49" fontId="7" fillId="10" borderId="15" xfId="0" applyNumberFormat="1" applyFont="1" applyFill="1" applyBorder="1" applyAlignment="1">
      <alignment horizontal="center" vertical="center" wrapText="1"/>
    </xf>
    <xf numFmtId="49" fontId="7" fillId="10" borderId="16" xfId="0" applyNumberFormat="1" applyFont="1" applyFill="1" applyBorder="1" applyAlignment="1">
      <alignment horizontal="center" vertical="center" wrapText="1"/>
    </xf>
    <xf numFmtId="0" fontId="42" fillId="10" borderId="11" xfId="0" applyFont="1" applyFill="1" applyBorder="1" applyAlignment="1">
      <alignment horizontal="center" vertical="center" wrapText="1"/>
    </xf>
    <xf numFmtId="0" fontId="42" fillId="10" borderId="12" xfId="0" applyFont="1" applyFill="1" applyBorder="1" applyAlignment="1">
      <alignment horizontal="center" vertical="center" wrapText="1"/>
    </xf>
    <xf numFmtId="0" fontId="42" fillId="10" borderId="13" xfId="0" applyFont="1" applyFill="1" applyBorder="1" applyAlignment="1">
      <alignment horizontal="center" vertical="center" wrapText="1"/>
    </xf>
    <xf numFmtId="0" fontId="42" fillId="9" borderId="6" xfId="0" applyFont="1" applyFill="1" applyBorder="1" applyAlignment="1">
      <alignment horizontal="center" vertical="center" wrapText="1"/>
    </xf>
    <xf numFmtId="49" fontId="42" fillId="6" borderId="11" xfId="0" applyNumberFormat="1" applyFont="1" applyFill="1" applyBorder="1" applyAlignment="1">
      <alignment horizontal="center" vertical="center" wrapText="1"/>
    </xf>
    <xf numFmtId="49" fontId="42" fillId="6" borderId="12" xfId="0" applyNumberFormat="1" applyFont="1" applyFill="1" applyBorder="1" applyAlignment="1">
      <alignment horizontal="center" vertical="center" wrapText="1"/>
    </xf>
    <xf numFmtId="49" fontId="42" fillId="6" borderId="13" xfId="0" applyNumberFormat="1" applyFont="1" applyFill="1" applyBorder="1" applyAlignment="1">
      <alignment horizontal="center" vertical="center" wrapText="1"/>
    </xf>
    <xf numFmtId="49" fontId="42" fillId="10" borderId="11" xfId="0" applyNumberFormat="1" applyFont="1" applyFill="1" applyBorder="1" applyAlignment="1">
      <alignment horizontal="center" vertical="center" wrapText="1"/>
    </xf>
    <xf numFmtId="49" fontId="42" fillId="10" borderId="12" xfId="0" applyNumberFormat="1" applyFont="1" applyFill="1" applyBorder="1" applyAlignment="1">
      <alignment horizontal="center" vertical="center" wrapText="1"/>
    </xf>
    <xf numFmtId="49" fontId="42" fillId="10" borderId="13" xfId="0" applyNumberFormat="1" applyFont="1" applyFill="1" applyBorder="1" applyAlignment="1">
      <alignment horizontal="center" vertical="center" wrapText="1"/>
    </xf>
    <xf numFmtId="49" fontId="42" fillId="2" borderId="11" xfId="0" applyNumberFormat="1" applyFont="1" applyFill="1" applyBorder="1" applyAlignment="1">
      <alignment horizontal="center" vertical="center" wrapText="1"/>
    </xf>
    <xf numFmtId="49" fontId="42" fillId="2" borderId="12" xfId="0" applyNumberFormat="1" applyFont="1" applyFill="1" applyBorder="1" applyAlignment="1">
      <alignment horizontal="center" vertical="center" wrapText="1"/>
    </xf>
    <xf numFmtId="49" fontId="42" fillId="2" borderId="13" xfId="0" applyNumberFormat="1" applyFont="1" applyFill="1" applyBorder="1" applyAlignment="1">
      <alignment horizontal="center" vertical="center" wrapText="1"/>
    </xf>
    <xf numFmtId="49" fontId="42" fillId="11" borderId="11" xfId="0" applyNumberFormat="1" applyFont="1" applyFill="1" applyBorder="1" applyAlignment="1">
      <alignment horizontal="center" vertical="center" wrapText="1"/>
    </xf>
    <xf numFmtId="49" fontId="42" fillId="11" borderId="12" xfId="0" applyNumberFormat="1" applyFont="1" applyFill="1" applyBorder="1" applyAlignment="1">
      <alignment horizontal="center" vertical="center" wrapText="1"/>
    </xf>
    <xf numFmtId="49" fontId="42" fillId="11" borderId="13" xfId="0" applyNumberFormat="1" applyFont="1" applyFill="1" applyBorder="1" applyAlignment="1">
      <alignment horizontal="center" vertical="center" wrapText="1"/>
    </xf>
    <xf numFmtId="49" fontId="42" fillId="9" borderId="11" xfId="0" applyNumberFormat="1" applyFont="1" applyFill="1" applyBorder="1" applyAlignment="1">
      <alignment horizontal="center" vertical="center" wrapText="1"/>
    </xf>
    <xf numFmtId="49" fontId="42" fillId="9" borderId="12" xfId="0" applyNumberFormat="1" applyFont="1" applyFill="1" applyBorder="1" applyAlignment="1">
      <alignment horizontal="center" vertical="center" wrapText="1"/>
    </xf>
    <xf numFmtId="49" fontId="42" fillId="9" borderId="13" xfId="0" applyNumberFormat="1" applyFont="1" applyFill="1" applyBorder="1" applyAlignment="1">
      <alignment horizontal="center" vertical="center" wrapText="1"/>
    </xf>
    <xf numFmtId="49" fontId="42" fillId="10" borderId="3" xfId="0" applyNumberFormat="1" applyFont="1" applyFill="1" applyBorder="1" applyAlignment="1">
      <alignment horizontal="center" vertical="center" wrapText="1"/>
    </xf>
    <xf numFmtId="0" fontId="42" fillId="10" borderId="3" xfId="0" applyFont="1" applyFill="1" applyBorder="1" applyAlignment="1">
      <alignment horizontal="center" vertical="center" wrapText="1"/>
    </xf>
    <xf numFmtId="49" fontId="42" fillId="10" borderId="15" xfId="0" applyNumberFormat="1" applyFont="1" applyFill="1" applyBorder="1" applyAlignment="1">
      <alignment horizontal="center" vertical="center" wrapText="1"/>
    </xf>
    <xf numFmtId="49" fontId="42" fillId="2" borderId="14" xfId="0" applyNumberFormat="1" applyFont="1" applyFill="1" applyBorder="1" applyAlignment="1">
      <alignment horizontal="center" vertical="center" wrapText="1"/>
    </xf>
    <xf numFmtId="49" fontId="42" fillId="2" borderId="15" xfId="0" applyNumberFormat="1" applyFont="1" applyFill="1" applyBorder="1" applyAlignment="1">
      <alignment horizontal="center" vertical="center" wrapText="1"/>
    </xf>
    <xf numFmtId="49" fontId="42" fillId="2" borderId="16" xfId="0" applyNumberFormat="1" applyFont="1" applyFill="1" applyBorder="1" applyAlignment="1">
      <alignment horizontal="center" vertical="center" wrapText="1"/>
    </xf>
    <xf numFmtId="0" fontId="42" fillId="2" borderId="11" xfId="0" applyFont="1" applyFill="1" applyBorder="1" applyAlignment="1">
      <alignment horizontal="center" vertical="center" wrapText="1"/>
    </xf>
    <xf numFmtId="0" fontId="42" fillId="2" borderId="12" xfId="0" applyFont="1" applyFill="1" applyBorder="1" applyAlignment="1">
      <alignment horizontal="center" vertical="center" wrapText="1"/>
    </xf>
    <xf numFmtId="0" fontId="42" fillId="2" borderId="13" xfId="0" applyFont="1" applyFill="1" applyBorder="1" applyAlignment="1">
      <alignment horizontal="center" vertical="center" wrapText="1"/>
    </xf>
    <xf numFmtId="0" fontId="26" fillId="4" borderId="59" xfId="3" applyFont="1" applyFill="1" applyBorder="1" applyAlignment="1">
      <alignment horizontal="left" vertical="top" wrapText="1"/>
    </xf>
    <xf numFmtId="0" fontId="26" fillId="4" borderId="0" xfId="3" applyFont="1" applyFill="1" applyAlignment="1">
      <alignment horizontal="left" vertical="top" wrapText="1"/>
    </xf>
    <xf numFmtId="0" fontId="26" fillId="4" borderId="60" xfId="3" applyFont="1" applyFill="1" applyBorder="1" applyAlignment="1">
      <alignment horizontal="left" vertical="top" wrapText="1"/>
    </xf>
    <xf numFmtId="0" fontId="26" fillId="4" borderId="0" xfId="3" applyFont="1" applyFill="1"/>
    <xf numFmtId="0" fontId="34" fillId="4" borderId="77" xfId="0" applyFont="1" applyFill="1" applyBorder="1" applyAlignment="1">
      <alignment horizontal="left" vertical="center" wrapText="1"/>
    </xf>
    <xf numFmtId="0" fontId="34" fillId="4" borderId="78" xfId="0" applyFont="1" applyFill="1" applyBorder="1" applyAlignment="1">
      <alignment horizontal="left" vertical="center" wrapText="1"/>
    </xf>
    <xf numFmtId="0" fontId="35" fillId="0" borderId="69" xfId="3" applyFont="1" applyBorder="1" applyAlignment="1">
      <alignment horizontal="left" vertical="center" wrapText="1"/>
    </xf>
    <xf numFmtId="0" fontId="35" fillId="0" borderId="70" xfId="3" applyFont="1" applyBorder="1" applyAlignment="1">
      <alignment horizontal="left" vertical="center" wrapText="1"/>
    </xf>
    <xf numFmtId="0" fontId="17" fillId="2" borderId="44" xfId="2" applyFont="1" applyFill="1" applyBorder="1" applyAlignment="1">
      <alignment horizontal="center" vertical="center" wrapText="1"/>
    </xf>
    <xf numFmtId="0" fontId="17" fillId="2" borderId="45" xfId="2" applyFont="1" applyFill="1" applyBorder="1" applyAlignment="1">
      <alignment horizontal="center" vertical="center" wrapText="1"/>
    </xf>
    <xf numFmtId="0" fontId="25" fillId="7" borderId="50" xfId="2" applyFont="1" applyFill="1" applyBorder="1" applyAlignment="1">
      <alignment horizontal="center" vertical="center"/>
    </xf>
    <xf numFmtId="0" fontId="25" fillId="7" borderId="51" xfId="2" applyFont="1" applyFill="1" applyBorder="1" applyAlignment="1">
      <alignment horizontal="center" vertical="center"/>
    </xf>
    <xf numFmtId="0" fontId="26" fillId="0" borderId="56" xfId="2" applyFont="1" applyBorder="1" applyAlignment="1">
      <alignment horizontal="justify" vertical="center" wrapText="1"/>
    </xf>
    <xf numFmtId="0" fontId="26" fillId="0" borderId="57" xfId="2" applyFont="1" applyBorder="1" applyAlignment="1">
      <alignment horizontal="justify" vertical="center" wrapText="1"/>
    </xf>
    <xf numFmtId="0" fontId="25" fillId="8" borderId="52" xfId="2" applyFont="1" applyFill="1" applyBorder="1" applyAlignment="1">
      <alignment horizontal="center" vertical="center" wrapText="1"/>
    </xf>
    <xf numFmtId="0" fontId="25" fillId="8" borderId="53" xfId="2" applyFont="1" applyFill="1" applyBorder="1" applyAlignment="1">
      <alignment horizontal="center" vertical="center"/>
    </xf>
    <xf numFmtId="0" fontId="26" fillId="0" borderId="53" xfId="2" applyFont="1" applyBorder="1" applyAlignment="1">
      <alignment horizontal="justify" vertical="center" wrapText="1"/>
    </xf>
    <xf numFmtId="0" fontId="26" fillId="0" borderId="54" xfId="2" applyFont="1" applyBorder="1" applyAlignment="1">
      <alignment horizontal="justify" vertical="center" wrapText="1"/>
    </xf>
    <xf numFmtId="0" fontId="37" fillId="4" borderId="71" xfId="2" applyFont="1" applyFill="1" applyBorder="1" applyAlignment="1">
      <alignment horizontal="center" vertical="center" wrapText="1"/>
    </xf>
    <xf numFmtId="0" fontId="24" fillId="4" borderId="71" xfId="2" applyFont="1" applyFill="1" applyBorder="1" applyAlignment="1">
      <alignment horizontal="center" vertical="center" wrapText="1"/>
    </xf>
    <xf numFmtId="0" fontId="17" fillId="2" borderId="46" xfId="2" applyFont="1" applyFill="1" applyBorder="1" applyAlignment="1">
      <alignment horizontal="center" vertical="center" wrapText="1"/>
    </xf>
    <xf numFmtId="0" fontId="25" fillId="13" borderId="47" xfId="2" applyFont="1" applyFill="1" applyBorder="1" applyAlignment="1">
      <alignment horizontal="center" vertical="center"/>
    </xf>
    <xf numFmtId="0" fontId="25" fillId="13" borderId="48" xfId="2" applyFont="1" applyFill="1" applyBorder="1" applyAlignment="1">
      <alignment horizontal="center" vertical="center"/>
    </xf>
    <xf numFmtId="0" fontId="26" fillId="0" borderId="48" xfId="2" applyFont="1" applyBorder="1" applyAlignment="1">
      <alignment horizontal="justify" vertical="center" wrapText="1"/>
    </xf>
    <xf numFmtId="0" fontId="26" fillId="0" borderId="49" xfId="2" applyFont="1" applyBorder="1" applyAlignment="1">
      <alignment horizontal="justify" vertical="center" wrapText="1"/>
    </xf>
    <xf numFmtId="0" fontId="34" fillId="4" borderId="75" xfId="4" applyFont="1" applyFill="1" applyBorder="1" applyAlignment="1">
      <alignment horizontal="left" vertical="center" wrapText="1" readingOrder="1"/>
    </xf>
    <xf numFmtId="0" fontId="34" fillId="4" borderId="76" xfId="4" applyFont="1" applyFill="1" applyBorder="1" applyAlignment="1">
      <alignment horizontal="left" vertical="center" wrapText="1" readingOrder="1"/>
    </xf>
    <xf numFmtId="0" fontId="35" fillId="0" borderId="65" xfId="3" applyFont="1" applyBorder="1" applyAlignment="1">
      <alignment horizontal="left" vertical="center" wrapText="1"/>
    </xf>
    <xf numFmtId="0" fontId="35" fillId="0" borderId="66" xfId="3" applyFont="1" applyBorder="1" applyAlignment="1">
      <alignment horizontal="left" vertical="center" wrapText="1"/>
    </xf>
    <xf numFmtId="0" fontId="34" fillId="4" borderId="67" xfId="0" applyFont="1" applyFill="1" applyBorder="1" applyAlignment="1">
      <alignment horizontal="left" vertical="center" wrapText="1"/>
    </xf>
    <xf numFmtId="0" fontId="34" fillId="4" borderId="68" xfId="0" applyFont="1" applyFill="1" applyBorder="1" applyAlignment="1">
      <alignment horizontal="left" vertical="center" wrapText="1"/>
    </xf>
    <xf numFmtId="0" fontId="35" fillId="0" borderId="69" xfId="3" applyFont="1" applyBorder="1" applyAlignment="1">
      <alignment horizontal="left" vertical="top" wrapText="1"/>
    </xf>
    <xf numFmtId="0" fontId="35" fillId="0" borderId="70" xfId="3" applyFont="1" applyBorder="1" applyAlignment="1">
      <alignment horizontal="left" vertical="top" wrapText="1"/>
    </xf>
    <xf numFmtId="0" fontId="30" fillId="0" borderId="58" xfId="3" applyFont="1" applyBorder="1" applyAlignment="1">
      <alignment horizontal="center" vertical="center" wrapText="1"/>
    </xf>
    <xf numFmtId="0" fontId="30" fillId="0" borderId="55" xfId="3" applyFont="1" applyBorder="1" applyAlignment="1">
      <alignment horizontal="center" vertical="center" wrapText="1"/>
    </xf>
    <xf numFmtId="0" fontId="30" fillId="0" borderId="8" xfId="3" applyFont="1" applyBorder="1" applyAlignment="1">
      <alignment horizontal="center" vertical="center" wrapText="1"/>
    </xf>
    <xf numFmtId="0" fontId="26" fillId="0" borderId="59" xfId="3" quotePrefix="1" applyFont="1" applyBorder="1" applyAlignment="1">
      <alignment horizontal="left" vertical="center" wrapText="1"/>
    </xf>
    <xf numFmtId="0" fontId="26" fillId="0" borderId="0" xfId="3" quotePrefix="1" applyFont="1" applyAlignment="1">
      <alignment horizontal="left" vertical="center" wrapText="1"/>
    </xf>
    <xf numFmtId="0" fontId="26" fillId="0" borderId="60" xfId="3" quotePrefix="1" applyFont="1" applyBorder="1" applyAlignment="1">
      <alignment horizontal="left" vertical="center" wrapText="1"/>
    </xf>
    <xf numFmtId="0" fontId="31" fillId="4" borderId="59" xfId="3" quotePrefix="1" applyFont="1" applyFill="1" applyBorder="1" applyAlignment="1">
      <alignment horizontal="left" vertical="top" wrapText="1"/>
    </xf>
    <xf numFmtId="0" fontId="25" fillId="4" borderId="0" xfId="3" quotePrefix="1" applyFont="1" applyFill="1" applyAlignment="1">
      <alignment horizontal="left" vertical="top" wrapText="1"/>
    </xf>
    <xf numFmtId="0" fontId="25" fillId="4" borderId="60" xfId="3" quotePrefix="1" applyFont="1" applyFill="1" applyBorder="1" applyAlignment="1">
      <alignment horizontal="left" vertical="top" wrapText="1"/>
    </xf>
    <xf numFmtId="0" fontId="26" fillId="4" borderId="59" xfId="3" quotePrefix="1" applyFont="1" applyFill="1" applyBorder="1" applyAlignment="1">
      <alignment horizontal="left" vertical="top" wrapText="1"/>
    </xf>
    <xf numFmtId="0" fontId="26" fillId="4" borderId="0" xfId="3" quotePrefix="1" applyFont="1" applyFill="1" applyAlignment="1">
      <alignment horizontal="left" vertical="top" wrapText="1"/>
    </xf>
    <xf numFmtId="0" fontId="26" fillId="4" borderId="60" xfId="3" quotePrefix="1" applyFont="1" applyFill="1" applyBorder="1" applyAlignment="1">
      <alignment horizontal="left" vertical="top" wrapText="1"/>
    </xf>
    <xf numFmtId="0" fontId="34" fillId="15" borderId="61" xfId="4" applyFont="1" applyFill="1" applyBorder="1" applyAlignment="1">
      <alignment horizontal="center" vertical="center" wrapText="1"/>
    </xf>
    <xf numFmtId="0" fontId="34" fillId="15" borderId="62" xfId="4" applyFont="1" applyFill="1" applyBorder="1" applyAlignment="1">
      <alignment horizontal="center" vertical="center" wrapText="1"/>
    </xf>
    <xf numFmtId="0" fontId="34" fillId="15" borderId="63" xfId="3" applyFont="1" applyFill="1" applyBorder="1" applyAlignment="1">
      <alignment horizontal="center" vertical="center"/>
    </xf>
    <xf numFmtId="0" fontId="34" fillId="15" borderId="64" xfId="3" applyFont="1" applyFill="1" applyBorder="1" applyAlignment="1">
      <alignment horizontal="center" vertical="center"/>
    </xf>
    <xf numFmtId="0" fontId="6" fillId="2" borderId="24"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5" xfId="0" applyFont="1" applyFill="1" applyBorder="1" applyAlignment="1">
      <alignment horizontal="center" vertical="center"/>
    </xf>
    <xf numFmtId="0" fontId="19" fillId="3" borderId="32" xfId="2" applyFont="1" applyFill="1" applyBorder="1" applyAlignment="1">
      <alignment horizontal="center" vertical="center" wrapText="1"/>
    </xf>
    <xf numFmtId="0" fontId="19" fillId="3" borderId="33" xfId="2" applyFont="1" applyFill="1" applyBorder="1" applyAlignment="1">
      <alignment horizontal="center" vertical="center" wrapText="1"/>
    </xf>
    <xf numFmtId="0" fontId="23" fillId="6" borderId="14" xfId="0" applyFont="1" applyFill="1" applyBorder="1" applyAlignment="1">
      <alignment horizontal="center" vertical="center" textRotation="90" wrapText="1"/>
    </xf>
    <xf numFmtId="0" fontId="23" fillId="6" borderId="15" xfId="0" applyFont="1" applyFill="1" applyBorder="1" applyAlignment="1">
      <alignment horizontal="center" vertical="center" textRotation="90" wrapText="1"/>
    </xf>
    <xf numFmtId="0" fontId="23" fillId="6" borderId="16" xfId="0" applyFont="1" applyFill="1" applyBorder="1" applyAlignment="1">
      <alignment horizontal="center" vertical="center" textRotation="90" wrapText="1"/>
    </xf>
    <xf numFmtId="0" fontId="19" fillId="2" borderId="37" xfId="2" applyFont="1" applyFill="1" applyBorder="1" applyAlignment="1">
      <alignment horizontal="center" vertical="center" wrapText="1"/>
    </xf>
    <xf numFmtId="0" fontId="19" fillId="2" borderId="83" xfId="2" applyFont="1" applyFill="1" applyBorder="1" applyAlignment="1">
      <alignment horizontal="center" vertical="center" wrapText="1"/>
    </xf>
    <xf numFmtId="0" fontId="19" fillId="2" borderId="38" xfId="2" applyFont="1" applyFill="1" applyBorder="1" applyAlignment="1">
      <alignment horizontal="center" vertical="center" wrapText="1"/>
    </xf>
    <xf numFmtId="0" fontId="19" fillId="2" borderId="39" xfId="2" applyFont="1" applyFill="1" applyBorder="1" applyAlignment="1">
      <alignment horizontal="center" vertical="center" wrapText="1"/>
    </xf>
    <xf numFmtId="0" fontId="19" fillId="2" borderId="40" xfId="2" applyFont="1" applyFill="1" applyBorder="1" applyAlignment="1">
      <alignment horizontal="center" vertical="center" wrapText="1"/>
    </xf>
    <xf numFmtId="0" fontId="19" fillId="2" borderId="42" xfId="2" applyFont="1" applyFill="1" applyBorder="1" applyAlignment="1">
      <alignment horizontal="center" vertical="center" wrapText="1"/>
    </xf>
    <xf numFmtId="0" fontId="19" fillId="2" borderId="41" xfId="2" applyFont="1" applyFill="1" applyBorder="1" applyAlignment="1">
      <alignment horizontal="center" vertical="center" wrapText="1"/>
    </xf>
    <xf numFmtId="0" fontId="19" fillId="2" borderId="43" xfId="2" applyFont="1" applyFill="1" applyBorder="1" applyAlignment="1">
      <alignment horizontal="center" vertical="center" wrapText="1"/>
    </xf>
    <xf numFmtId="9" fontId="40" fillId="0" borderId="87" xfId="0" applyNumberFormat="1" applyFont="1" applyBorder="1" applyAlignment="1" applyProtection="1">
      <alignment horizontal="center" vertical="center"/>
      <protection hidden="1"/>
    </xf>
    <xf numFmtId="9" fontId="40" fillId="0" borderId="88" xfId="0" applyNumberFormat="1" applyFont="1" applyBorder="1" applyAlignment="1" applyProtection="1">
      <alignment horizontal="center" vertical="center"/>
      <protection hidden="1"/>
    </xf>
    <xf numFmtId="9" fontId="28" fillId="7" borderId="84" xfId="1" applyFont="1" applyFill="1" applyBorder="1" applyAlignment="1" applyProtection="1">
      <alignment horizontal="center" vertical="center"/>
      <protection hidden="1"/>
    </xf>
    <xf numFmtId="9" fontId="28" fillId="7" borderId="85" xfId="1" applyFont="1" applyFill="1" applyBorder="1" applyAlignment="1" applyProtection="1">
      <alignment horizontal="center" vertical="center"/>
      <protection hidden="1"/>
    </xf>
    <xf numFmtId="9" fontId="28" fillId="7" borderId="86" xfId="1" applyFont="1" applyFill="1" applyBorder="1" applyAlignment="1" applyProtection="1">
      <alignment horizontal="center" vertical="center"/>
      <protection hidden="1"/>
    </xf>
    <xf numFmtId="0" fontId="27" fillId="9" borderId="14" xfId="0" applyFont="1" applyFill="1" applyBorder="1" applyAlignment="1">
      <alignment horizontal="center" vertical="center" textRotation="90"/>
    </xf>
    <xf numFmtId="0" fontId="27" fillId="9" borderId="15" xfId="0" applyFont="1" applyFill="1" applyBorder="1" applyAlignment="1">
      <alignment horizontal="center" vertical="center" textRotation="90"/>
    </xf>
    <xf numFmtId="0" fontId="27" fillId="9" borderId="16" xfId="0" applyFont="1" applyFill="1" applyBorder="1" applyAlignment="1">
      <alignment horizontal="center" vertical="center" textRotation="90"/>
    </xf>
    <xf numFmtId="9" fontId="40" fillId="4" borderId="87" xfId="0" applyNumberFormat="1" applyFont="1" applyFill="1" applyBorder="1" applyAlignment="1" applyProtection="1">
      <alignment horizontal="center" vertical="center"/>
      <protection hidden="1"/>
    </xf>
    <xf numFmtId="9" fontId="40" fillId="4" borderId="88" xfId="0" applyNumberFormat="1" applyFont="1" applyFill="1" applyBorder="1" applyAlignment="1" applyProtection="1">
      <alignment horizontal="center" vertical="center"/>
      <protection hidden="1"/>
    </xf>
    <xf numFmtId="9" fontId="40" fillId="4" borderId="89" xfId="0" applyNumberFormat="1" applyFont="1" applyFill="1" applyBorder="1" applyAlignment="1" applyProtection="1">
      <alignment horizontal="center" vertical="center"/>
      <protection hidden="1"/>
    </xf>
    <xf numFmtId="0" fontId="27" fillId="11" borderId="15" xfId="0" applyFont="1" applyFill="1" applyBorder="1" applyAlignment="1">
      <alignment horizontal="center" vertical="center" textRotation="90"/>
    </xf>
    <xf numFmtId="0" fontId="27" fillId="2" borderId="14" xfId="0" applyFont="1" applyFill="1" applyBorder="1" applyAlignment="1">
      <alignment horizontal="center" vertical="center" textRotation="90"/>
    </xf>
    <xf numFmtId="0" fontId="27" fillId="2" borderId="15" xfId="0" applyFont="1" applyFill="1" applyBorder="1" applyAlignment="1">
      <alignment horizontal="center" vertical="center" textRotation="90"/>
    </xf>
    <xf numFmtId="0" fontId="27" fillId="2" borderId="16" xfId="0" applyFont="1" applyFill="1" applyBorder="1" applyAlignment="1">
      <alignment horizontal="center" vertical="center" textRotation="90"/>
    </xf>
    <xf numFmtId="9" fontId="40" fillId="0" borderId="89" xfId="0" applyNumberFormat="1" applyFont="1" applyBorder="1" applyAlignment="1" applyProtection="1">
      <alignment horizontal="center" vertical="center"/>
      <protection hidden="1"/>
    </xf>
    <xf numFmtId="0" fontId="27" fillId="10" borderId="14" xfId="0" applyFont="1" applyFill="1" applyBorder="1" applyAlignment="1">
      <alignment horizontal="center" vertical="center" textRotation="90"/>
    </xf>
    <xf numFmtId="0" fontId="27" fillId="10" borderId="15" xfId="0" applyFont="1" applyFill="1" applyBorder="1" applyAlignment="1">
      <alignment horizontal="center" vertical="center" textRotation="90"/>
    </xf>
    <xf numFmtId="0" fontId="53" fillId="0" borderId="24" xfId="0" applyFont="1" applyBorder="1" applyAlignment="1" applyProtection="1">
      <alignment horizontal="justify" vertical="center" wrapText="1"/>
      <protection locked="0"/>
    </xf>
    <xf numFmtId="0" fontId="53" fillId="0" borderId="1" xfId="0" applyFont="1" applyBorder="1" applyAlignment="1" applyProtection="1">
      <alignment horizontal="justify" vertical="center" wrapText="1"/>
      <protection locked="0"/>
    </xf>
    <xf numFmtId="0" fontId="53" fillId="0" borderId="25" xfId="0" applyFont="1" applyBorder="1" applyAlignment="1" applyProtection="1">
      <alignment horizontal="justify" vertical="center" wrapText="1"/>
      <protection locked="0"/>
    </xf>
    <xf numFmtId="0" fontId="46" fillId="10" borderId="0" xfId="0" applyFont="1" applyFill="1" applyAlignment="1">
      <alignment horizontal="center" vertical="center" wrapText="1"/>
    </xf>
    <xf numFmtId="0" fontId="0" fillId="0" borderId="73" xfId="0" applyBorder="1" applyAlignment="1">
      <alignment horizontal="center"/>
    </xf>
    <xf numFmtId="0" fontId="0" fillId="0" borderId="1" xfId="0" applyBorder="1" applyAlignment="1">
      <alignment horizontal="center"/>
    </xf>
    <xf numFmtId="49" fontId="44" fillId="4" borderId="91" xfId="0" applyNumberFormat="1" applyFont="1" applyFill="1" applyBorder="1" applyAlignment="1">
      <alignment horizontal="left" vertical="center" wrapText="1"/>
    </xf>
    <xf numFmtId="49" fontId="44" fillId="4" borderId="3" xfId="0" applyNumberFormat="1" applyFont="1" applyFill="1" applyBorder="1" applyAlignment="1">
      <alignment horizontal="left" vertical="center" wrapText="1"/>
    </xf>
    <xf numFmtId="49" fontId="44" fillId="4" borderId="92" xfId="0" applyNumberFormat="1" applyFont="1" applyFill="1" applyBorder="1" applyAlignment="1">
      <alignment horizontal="left" vertical="center" wrapText="1"/>
    </xf>
    <xf numFmtId="49" fontId="44" fillId="4" borderId="4" xfId="0" applyNumberFormat="1" applyFont="1" applyFill="1" applyBorder="1" applyAlignment="1">
      <alignment horizontal="left" vertical="center" wrapText="1"/>
    </xf>
    <xf numFmtId="0" fontId="52" fillId="10" borderId="7" xfId="0" applyFont="1" applyFill="1" applyBorder="1" applyAlignment="1">
      <alignment horizontal="center" vertical="center" wrapText="1"/>
    </xf>
    <xf numFmtId="0" fontId="52" fillId="10" borderId="6" xfId="0" applyFont="1" applyFill="1" applyBorder="1" applyAlignment="1">
      <alignment horizontal="center" vertical="center" wrapText="1"/>
    </xf>
    <xf numFmtId="0" fontId="50" fillId="4" borderId="3" xfId="0" applyFont="1" applyFill="1" applyBorder="1" applyAlignment="1" applyProtection="1">
      <alignment horizontal="center" vertical="center"/>
      <protection locked="0"/>
    </xf>
    <xf numFmtId="164" fontId="50" fillId="4" borderId="22" xfId="0" applyNumberFormat="1" applyFont="1" applyFill="1" applyBorder="1" applyAlignment="1" applyProtection="1">
      <alignment horizontal="center" vertical="center"/>
      <protection locked="0"/>
    </xf>
    <xf numFmtId="164" fontId="50" fillId="4" borderId="23" xfId="0" applyNumberFormat="1" applyFont="1" applyFill="1" applyBorder="1" applyAlignment="1" applyProtection="1">
      <alignment horizontal="center" vertical="center"/>
      <protection locked="0"/>
    </xf>
    <xf numFmtId="164" fontId="50" fillId="4" borderId="9" xfId="0" applyNumberFormat="1" applyFont="1" applyFill="1" applyBorder="1" applyAlignment="1" applyProtection="1">
      <alignment horizontal="center" vertical="center"/>
      <protection locked="0"/>
    </xf>
    <xf numFmtId="0" fontId="46" fillId="10" borderId="24" xfId="0" applyFont="1" applyFill="1" applyBorder="1" applyAlignment="1">
      <alignment horizontal="center" vertical="center" wrapText="1"/>
    </xf>
    <xf numFmtId="0" fontId="46" fillId="10" borderId="1" xfId="0" applyFont="1" applyFill="1" applyBorder="1" applyAlignment="1">
      <alignment horizontal="center" vertical="center" wrapText="1"/>
    </xf>
    <xf numFmtId="0" fontId="46" fillId="10" borderId="25" xfId="0" applyFont="1" applyFill="1" applyBorder="1" applyAlignment="1">
      <alignment horizontal="center" vertical="center" wrapText="1"/>
    </xf>
    <xf numFmtId="0" fontId="9" fillId="10" borderId="27" xfId="0" applyFont="1" applyFill="1" applyBorder="1" applyAlignment="1">
      <alignment horizontal="center" vertical="center"/>
    </xf>
    <xf numFmtId="0" fontId="9" fillId="10" borderId="28" xfId="0" applyFont="1" applyFill="1" applyBorder="1" applyAlignment="1">
      <alignment horizontal="center" vertical="center"/>
    </xf>
    <xf numFmtId="0" fontId="9" fillId="10" borderId="29" xfId="0" applyFont="1" applyFill="1" applyBorder="1" applyAlignment="1">
      <alignment horizontal="center" vertical="center"/>
    </xf>
    <xf numFmtId="49" fontId="44" fillId="4" borderId="90" xfId="0" applyNumberFormat="1" applyFont="1" applyFill="1" applyBorder="1" applyAlignment="1">
      <alignment horizontal="left" vertical="center" wrapText="1"/>
    </xf>
    <xf numFmtId="49" fontId="44" fillId="4" borderId="2" xfId="0" applyNumberFormat="1" applyFont="1" applyFill="1" applyBorder="1" applyAlignment="1">
      <alignment horizontal="left" vertical="center" wrapText="1"/>
    </xf>
    <xf numFmtId="49" fontId="53" fillId="4" borderId="2" xfId="0" applyNumberFormat="1" applyFont="1" applyFill="1" applyBorder="1" applyAlignment="1" applyProtection="1">
      <alignment horizontal="center" vertical="center" wrapText="1"/>
      <protection locked="0"/>
    </xf>
    <xf numFmtId="49" fontId="53" fillId="4" borderId="84" xfId="0" applyNumberFormat="1" applyFont="1" applyFill="1" applyBorder="1" applyAlignment="1" applyProtection="1">
      <alignment horizontal="center" vertical="center" wrapText="1"/>
      <protection locked="0"/>
    </xf>
    <xf numFmtId="49" fontId="51" fillId="4" borderId="3" xfId="0" applyNumberFormat="1" applyFont="1" applyFill="1" applyBorder="1" applyAlignment="1" applyProtection="1">
      <alignment horizontal="center" vertical="center" wrapText="1"/>
      <protection locked="0"/>
    </xf>
    <xf numFmtId="49" fontId="51" fillId="4" borderId="85" xfId="0" applyNumberFormat="1" applyFont="1" applyFill="1" applyBorder="1" applyAlignment="1" applyProtection="1">
      <alignment horizontal="center" vertical="center" wrapText="1"/>
      <protection locked="0"/>
    </xf>
    <xf numFmtId="49" fontId="51" fillId="4" borderId="3" xfId="0" applyNumberFormat="1" applyFont="1" applyFill="1" applyBorder="1" applyAlignment="1" applyProtection="1">
      <alignment horizontal="center" vertical="top" wrapText="1"/>
      <protection locked="0"/>
    </xf>
    <xf numFmtId="49" fontId="51" fillId="4" borderId="85" xfId="0" applyNumberFormat="1" applyFont="1" applyFill="1" applyBorder="1" applyAlignment="1" applyProtection="1">
      <alignment horizontal="center" vertical="top" wrapText="1"/>
      <protection locked="0"/>
    </xf>
    <xf numFmtId="0" fontId="7" fillId="0" borderId="9" xfId="0" applyFont="1" applyFill="1" applyBorder="1" applyAlignment="1" applyProtection="1">
      <alignment horizontal="left" vertical="center" wrapText="1"/>
      <protection locked="0"/>
    </xf>
    <xf numFmtId="0" fontId="38" fillId="0" borderId="3" xfId="0" applyFont="1" applyBorder="1" applyAlignment="1" applyProtection="1">
      <alignment horizontal="center" vertical="center" wrapText="1"/>
      <protection locked="0"/>
    </xf>
  </cellXfs>
  <cellStyles count="5">
    <cellStyle name="Normal" xfId="0" builtinId="0"/>
    <cellStyle name="Normal - Style1 2" xfId="3" xr:uid="{00000000-0005-0000-0000-000001000000}"/>
    <cellStyle name="Normal 2" xfId="2" xr:uid="{00000000-0005-0000-0000-000002000000}"/>
    <cellStyle name="Normal 2 2" xfId="4" xr:uid="{00000000-0005-0000-0000-000003000000}"/>
    <cellStyle name="Porcentaje" xfId="1" builtinId="5"/>
  </cellStyles>
  <dxfs count="20">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1050132</xdr:colOff>
      <xdr:row>0</xdr:row>
      <xdr:rowOff>66818</xdr:rowOff>
    </xdr:from>
    <xdr:to>
      <xdr:col>7</xdr:col>
      <xdr:colOff>726282</xdr:colOff>
      <xdr:row>12</xdr:row>
      <xdr:rowOff>114147</xdr:rowOff>
    </xdr:to>
    <xdr:pic>
      <xdr:nvPicPr>
        <xdr:cNvPr id="2" name="Imagen 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7169945" y="66818"/>
          <a:ext cx="3676650" cy="23382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281667</xdr:colOff>
      <xdr:row>7</xdr:row>
      <xdr:rowOff>102768</xdr:rowOff>
    </xdr:from>
    <xdr:to>
      <xdr:col>6</xdr:col>
      <xdr:colOff>595313</xdr:colOff>
      <xdr:row>14</xdr:row>
      <xdr:rowOff>34763</xdr:rowOff>
    </xdr:to>
    <xdr:pic>
      <xdr:nvPicPr>
        <xdr:cNvPr id="4" name="Imagen 3">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4567917" y="2037534"/>
          <a:ext cx="3959935" cy="23486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ll\Desktop\cesar\HISTORICOS\2020-04-22_Formato_informe_sci_parametrizado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 val="Hoja4"/>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4"/>
  <sheetViews>
    <sheetView workbookViewId="0"/>
  </sheetViews>
  <sheetFormatPr baseColWidth="10" defaultColWidth="0" defaultRowHeight="12.75" zeroHeight="1" x14ac:dyDescent="0.2"/>
  <cols>
    <col min="1" max="1" width="3.85546875" style="42" customWidth="1"/>
    <col min="2" max="2" width="15.28515625" style="42" customWidth="1"/>
    <col min="3" max="3" width="17.28515625" style="42" customWidth="1"/>
    <col min="4" max="4" width="28.5703125" style="42" customWidth="1"/>
    <col min="5" max="5" width="12.85546875" style="42" customWidth="1"/>
    <col min="6" max="6" width="47.140625" style="42" customWidth="1"/>
    <col min="7" max="7" width="21.42578125" style="42" customWidth="1"/>
    <col min="8" max="8" width="6.5703125" style="42" customWidth="1"/>
    <col min="9" max="9" width="2.5703125" style="42" customWidth="1"/>
    <col min="10" max="16384" width="11.42578125" style="42" hidden="1"/>
  </cols>
  <sheetData>
    <row r="1" spans="2:8" ht="13.5" thickBot="1" x14ac:dyDescent="0.25"/>
    <row r="2" spans="2:8" ht="73.5" customHeight="1" x14ac:dyDescent="0.2">
      <c r="B2" s="251" t="s">
        <v>0</v>
      </c>
      <c r="C2" s="252"/>
      <c r="D2" s="252"/>
      <c r="E2" s="252"/>
      <c r="F2" s="252"/>
      <c r="G2" s="252"/>
      <c r="H2" s="253"/>
    </row>
    <row r="3" spans="2:8" ht="65.25" customHeight="1" x14ac:dyDescent="0.2">
      <c r="B3" s="254" t="s">
        <v>1</v>
      </c>
      <c r="C3" s="255"/>
      <c r="D3" s="255"/>
      <c r="E3" s="255"/>
      <c r="F3" s="255"/>
      <c r="G3" s="255"/>
      <c r="H3" s="256"/>
    </row>
    <row r="4" spans="2:8" ht="82.5" customHeight="1" x14ac:dyDescent="0.2">
      <c r="B4" s="254"/>
      <c r="C4" s="255"/>
      <c r="D4" s="255"/>
      <c r="E4" s="255"/>
      <c r="F4" s="255"/>
      <c r="G4" s="255"/>
      <c r="H4" s="256"/>
    </row>
    <row r="5" spans="2:8" ht="21.75" customHeight="1" x14ac:dyDescent="0.2">
      <c r="B5" s="257" t="s">
        <v>2</v>
      </c>
      <c r="C5" s="258"/>
      <c r="D5" s="258"/>
      <c r="E5" s="258"/>
      <c r="F5" s="258"/>
      <c r="G5" s="258"/>
      <c r="H5" s="259"/>
    </row>
    <row r="6" spans="2:8" ht="42" customHeight="1" x14ac:dyDescent="0.2">
      <c r="B6" s="260" t="s">
        <v>3</v>
      </c>
      <c r="C6" s="261"/>
      <c r="D6" s="261"/>
      <c r="E6" s="261"/>
      <c r="F6" s="261"/>
      <c r="G6" s="261"/>
      <c r="H6" s="262"/>
    </row>
    <row r="7" spans="2:8" ht="14.25" customHeight="1" x14ac:dyDescent="0.2">
      <c r="B7" s="260"/>
      <c r="C7" s="261"/>
      <c r="D7" s="261"/>
      <c r="E7" s="261"/>
      <c r="F7" s="261"/>
      <c r="G7" s="261"/>
      <c r="H7" s="262"/>
    </row>
    <row r="8" spans="2:8" ht="12.75" customHeight="1" thickBot="1" x14ac:dyDescent="0.25">
      <c r="B8" s="52"/>
      <c r="C8" s="46"/>
      <c r="D8" s="61"/>
      <c r="E8" s="62"/>
      <c r="F8" s="62"/>
      <c r="G8" s="60"/>
      <c r="H8" s="54"/>
    </row>
    <row r="9" spans="2:8" ht="21" customHeight="1" thickTop="1" x14ac:dyDescent="0.2">
      <c r="B9" s="52"/>
      <c r="C9" s="263" t="s">
        <v>4</v>
      </c>
      <c r="D9" s="264"/>
      <c r="E9" s="265" t="s">
        <v>5</v>
      </c>
      <c r="F9" s="266"/>
      <c r="G9" s="46"/>
      <c r="H9" s="54"/>
    </row>
    <row r="10" spans="2:8" ht="37.5" customHeight="1" x14ac:dyDescent="0.2">
      <c r="B10" s="52"/>
      <c r="C10" s="243" t="s">
        <v>6</v>
      </c>
      <c r="D10" s="244"/>
      <c r="E10" s="245" t="s">
        <v>7</v>
      </c>
      <c r="F10" s="246"/>
      <c r="G10" s="46"/>
      <c r="H10" s="54"/>
    </row>
    <row r="11" spans="2:8" ht="39.75" customHeight="1" x14ac:dyDescent="0.2">
      <c r="B11" s="52"/>
      <c r="C11" s="247" t="s">
        <v>8</v>
      </c>
      <c r="D11" s="248"/>
      <c r="E11" s="224" t="s">
        <v>9</v>
      </c>
      <c r="F11" s="225"/>
      <c r="G11" s="46"/>
      <c r="H11" s="54"/>
    </row>
    <row r="12" spans="2:8" ht="59.25" customHeight="1" x14ac:dyDescent="0.2">
      <c r="B12" s="52"/>
      <c r="C12" s="247" t="s">
        <v>10</v>
      </c>
      <c r="D12" s="248"/>
      <c r="E12" s="249" t="s">
        <v>11</v>
      </c>
      <c r="F12" s="250"/>
      <c r="G12" s="46"/>
      <c r="H12" s="54"/>
    </row>
    <row r="13" spans="2:8" ht="33.75" customHeight="1" x14ac:dyDescent="0.2">
      <c r="B13" s="52"/>
      <c r="C13" s="222" t="s">
        <v>12</v>
      </c>
      <c r="D13" s="223"/>
      <c r="E13" s="224" t="s">
        <v>13</v>
      </c>
      <c r="F13" s="225"/>
      <c r="G13" s="46"/>
      <c r="H13" s="54"/>
    </row>
    <row r="14" spans="2:8" ht="19.5" customHeight="1" x14ac:dyDescent="0.2">
      <c r="B14" s="52"/>
      <c r="C14" s="58"/>
      <c r="D14" s="58"/>
      <c r="E14" s="59"/>
      <c r="F14" s="59"/>
      <c r="G14" s="46"/>
      <c r="H14" s="54"/>
    </row>
    <row r="15" spans="2:8" ht="37.5" customHeight="1" thickBot="1" x14ac:dyDescent="0.25">
      <c r="B15" s="218" t="s">
        <v>14</v>
      </c>
      <c r="C15" s="219"/>
      <c r="D15" s="219"/>
      <c r="E15" s="219"/>
      <c r="F15" s="219"/>
      <c r="G15" s="219"/>
      <c r="H15" s="220"/>
    </row>
    <row r="16" spans="2:8" ht="27.75" customHeight="1" thickBot="1" x14ac:dyDescent="0.25">
      <c r="B16" s="52"/>
      <c r="C16" s="226" t="s">
        <v>15</v>
      </c>
      <c r="D16" s="227"/>
      <c r="E16" s="227" t="s">
        <v>16</v>
      </c>
      <c r="F16" s="238"/>
      <c r="G16" s="46"/>
      <c r="H16" s="54"/>
    </row>
    <row r="17" spans="2:8" ht="27.75" customHeight="1" x14ac:dyDescent="0.2">
      <c r="B17" s="52"/>
      <c r="C17" s="239" t="s">
        <v>17</v>
      </c>
      <c r="D17" s="240"/>
      <c r="E17" s="241" t="s">
        <v>18</v>
      </c>
      <c r="F17" s="242"/>
      <c r="G17" s="75"/>
      <c r="H17" s="54"/>
    </row>
    <row r="18" spans="2:8" ht="41.25" customHeight="1" x14ac:dyDescent="0.2">
      <c r="B18" s="52"/>
      <c r="C18" s="228" t="s">
        <v>19</v>
      </c>
      <c r="D18" s="229"/>
      <c r="E18" s="230" t="s">
        <v>20</v>
      </c>
      <c r="F18" s="231"/>
      <c r="G18" s="76"/>
      <c r="H18" s="54"/>
    </row>
    <row r="19" spans="2:8" ht="37.5" customHeight="1" thickBot="1" x14ac:dyDescent="0.25">
      <c r="B19" s="52"/>
      <c r="C19" s="232" t="s">
        <v>21</v>
      </c>
      <c r="D19" s="233"/>
      <c r="E19" s="234" t="s">
        <v>22</v>
      </c>
      <c r="F19" s="235"/>
      <c r="G19" s="76"/>
      <c r="H19" s="54"/>
    </row>
    <row r="20" spans="2:8" ht="11.25" customHeight="1" x14ac:dyDescent="0.2">
      <c r="B20" s="47"/>
      <c r="C20" s="48"/>
      <c r="D20" s="48"/>
      <c r="E20" s="48"/>
      <c r="F20" s="48"/>
      <c r="G20" s="48"/>
      <c r="H20" s="49"/>
    </row>
    <row r="21" spans="2:8" ht="14.25" customHeight="1" x14ac:dyDescent="0.2">
      <c r="B21" s="50"/>
      <c r="C21" s="236"/>
      <c r="D21" s="236"/>
      <c r="E21" s="237"/>
      <c r="F21" s="237"/>
      <c r="G21" s="237"/>
      <c r="H21" s="51"/>
    </row>
    <row r="22" spans="2:8" ht="36" customHeight="1" x14ac:dyDescent="0.2">
      <c r="B22" s="218" t="s">
        <v>23</v>
      </c>
      <c r="C22" s="219"/>
      <c r="D22" s="219"/>
      <c r="E22" s="219"/>
      <c r="F22" s="219"/>
      <c r="G22" s="219"/>
      <c r="H22" s="220"/>
    </row>
    <row r="23" spans="2:8" ht="13.5" x14ac:dyDescent="0.2">
      <c r="B23" s="52"/>
      <c r="C23" s="53"/>
      <c r="D23" s="53"/>
      <c r="E23" s="221"/>
      <c r="F23" s="221"/>
      <c r="G23" s="46"/>
      <c r="H23" s="54"/>
    </row>
    <row r="24" spans="2:8" ht="13.5" thickBot="1" x14ac:dyDescent="0.25">
      <c r="B24" s="55"/>
      <c r="C24" s="56"/>
      <c r="D24" s="56"/>
      <c r="E24" s="56"/>
      <c r="F24" s="56"/>
      <c r="G24" s="56"/>
      <c r="H24" s="57"/>
    </row>
    <row r="25" spans="2:8" x14ac:dyDescent="0.2"/>
    <row r="26" spans="2:8" ht="29.25" customHeight="1" x14ac:dyDescent="0.2"/>
    <row r="27" spans="2:8" ht="26.25" customHeight="1" x14ac:dyDescent="0.2"/>
    <row r="28" spans="2:8" ht="43.5" customHeight="1" x14ac:dyDescent="0.2"/>
    <row r="29" spans="2:8" ht="53.25" customHeight="1" x14ac:dyDescent="0.2"/>
    <row r="30" spans="2:8" x14ac:dyDescent="0.2"/>
    <row r="31" spans="2:8" x14ac:dyDescent="0.2"/>
    <row r="32" spans="2:8" x14ac:dyDescent="0.2"/>
    <row r="33" x14ac:dyDescent="0.2"/>
    <row r="34" x14ac:dyDescent="0.2"/>
    <row r="35"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x14ac:dyDescent="0.2"/>
    <row r="52" x14ac:dyDescent="0.2"/>
    <row r="54" x14ac:dyDescent="0.2"/>
  </sheetData>
  <sheetProtection algorithmName="SHA-512" hashValue="t7sIeOvFa2bhukBsHVcHmO5gG9cifT20ZR8W/o5PL1FLs7w8K+KkEm6wLVbMVfYFM8W9luBRuNKu+qdhAWPM7w==" saltValue="H/shNuEdnFDauevCofk8Sw==" spinCount="100000" sheet="1" objects="1" scenarios="1"/>
  <mergeCells count="27">
    <mergeCell ref="B2:H2"/>
    <mergeCell ref="B3:H4"/>
    <mergeCell ref="B5:H5"/>
    <mergeCell ref="B6:H7"/>
    <mergeCell ref="C9:D9"/>
    <mergeCell ref="E9:F9"/>
    <mergeCell ref="C10:D10"/>
    <mergeCell ref="E10:F10"/>
    <mergeCell ref="C11:D11"/>
    <mergeCell ref="E11:F11"/>
    <mergeCell ref="C12:D12"/>
    <mergeCell ref="E12:F12"/>
    <mergeCell ref="B22:H22"/>
    <mergeCell ref="E23:F23"/>
    <mergeCell ref="C13:D13"/>
    <mergeCell ref="E13:F13"/>
    <mergeCell ref="C16:D16"/>
    <mergeCell ref="C18:D18"/>
    <mergeCell ref="E18:F18"/>
    <mergeCell ref="C19:D19"/>
    <mergeCell ref="E19:F19"/>
    <mergeCell ref="C21:D21"/>
    <mergeCell ref="E21:G21"/>
    <mergeCell ref="B15:H15"/>
    <mergeCell ref="E16:F16"/>
    <mergeCell ref="C17:D17"/>
    <mergeCell ref="E17:F1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59"/>
  <sheetViews>
    <sheetView topLeftCell="D1" zoomScale="62" zoomScaleNormal="62" workbookViewId="0">
      <selection activeCell="H57" sqref="H57"/>
    </sheetView>
  </sheetViews>
  <sheetFormatPr baseColWidth="10" defaultColWidth="11.42578125" defaultRowHeight="16.5" x14ac:dyDescent="0.3"/>
  <cols>
    <col min="1" max="1" width="3" style="44" hidden="1" customWidth="1"/>
    <col min="2" max="2" width="9.42578125" style="44" customWidth="1"/>
    <col min="3" max="3" width="25.5703125" style="44" customWidth="1"/>
    <col min="4" max="4" width="46.5703125" style="44" customWidth="1"/>
    <col min="5" max="5" width="10.140625" style="64" customWidth="1"/>
    <col min="6" max="6" width="44.5703125" style="64" customWidth="1"/>
    <col min="7" max="7" width="15.42578125" style="44" customWidth="1"/>
    <col min="8" max="9" width="43" style="44" customWidth="1"/>
    <col min="10" max="12" width="11.42578125" style="64" customWidth="1"/>
    <col min="13" max="24" width="11.42578125" style="44" customWidth="1"/>
    <col min="25" max="16384" width="11.42578125" style="44"/>
  </cols>
  <sheetData>
    <row r="1" spans="1:32" ht="9.75" customHeight="1" x14ac:dyDescent="0.3">
      <c r="B1" s="43"/>
      <c r="C1" s="43"/>
      <c r="D1" s="43"/>
      <c r="E1" s="63"/>
      <c r="F1" s="63"/>
      <c r="G1" s="43"/>
      <c r="H1" s="43"/>
      <c r="I1" s="43"/>
      <c r="J1" s="63"/>
      <c r="K1" s="63"/>
      <c r="L1" s="63"/>
      <c r="M1" s="43"/>
      <c r="N1" s="43"/>
      <c r="O1" s="43"/>
      <c r="P1" s="43"/>
      <c r="Q1" s="43"/>
      <c r="R1" s="43"/>
      <c r="S1" s="43"/>
      <c r="T1" s="43"/>
      <c r="U1" s="43"/>
      <c r="V1" s="43"/>
      <c r="W1" s="43"/>
      <c r="X1" s="43"/>
    </row>
    <row r="2" spans="1:32" x14ac:dyDescent="0.3">
      <c r="B2" s="43"/>
      <c r="C2" s="43"/>
      <c r="D2" s="43"/>
      <c r="E2" s="63"/>
      <c r="F2" s="63"/>
      <c r="G2" s="43"/>
      <c r="H2" s="43"/>
      <c r="I2" s="43"/>
      <c r="J2" s="63"/>
      <c r="K2" s="63"/>
      <c r="L2" s="63"/>
      <c r="M2" s="43"/>
      <c r="N2" s="43"/>
      <c r="O2" s="43"/>
      <c r="P2" s="43"/>
      <c r="Q2" s="43"/>
      <c r="R2" s="43"/>
      <c r="S2" s="43"/>
      <c r="T2" s="43"/>
      <c r="U2" s="43"/>
      <c r="V2" s="43"/>
      <c r="W2" s="43"/>
      <c r="X2" s="43"/>
    </row>
    <row r="3" spans="1:32" x14ac:dyDescent="0.3">
      <c r="B3" s="43"/>
      <c r="C3" s="43"/>
      <c r="D3" s="43"/>
      <c r="E3" s="63"/>
      <c r="F3" s="63"/>
      <c r="G3" s="43"/>
      <c r="H3" s="43"/>
      <c r="I3" s="43"/>
      <c r="J3" s="63"/>
      <c r="K3" s="63"/>
      <c r="L3" s="63"/>
      <c r="M3" s="43"/>
      <c r="N3" s="43"/>
      <c r="O3" s="43"/>
      <c r="P3" s="43"/>
      <c r="Q3" s="43"/>
      <c r="R3" s="43"/>
      <c r="S3" s="43"/>
      <c r="T3" s="43"/>
      <c r="U3" s="43"/>
      <c r="V3" s="43"/>
      <c r="W3" s="43"/>
      <c r="X3" s="43"/>
    </row>
    <row r="4" spans="1:32" x14ac:dyDescent="0.3">
      <c r="B4" s="43"/>
      <c r="C4" s="43"/>
      <c r="D4" s="43"/>
      <c r="E4" s="63"/>
      <c r="F4" s="63"/>
      <c r="G4" s="43"/>
      <c r="H4" s="43"/>
      <c r="I4" s="43"/>
      <c r="J4" s="63"/>
      <c r="K4" s="63"/>
      <c r="L4" s="63"/>
      <c r="M4" s="43"/>
      <c r="N4" s="43"/>
      <c r="O4" s="43"/>
      <c r="P4" s="43"/>
      <c r="Q4" s="43"/>
      <c r="R4" s="43"/>
      <c r="S4" s="43"/>
      <c r="T4" s="43"/>
      <c r="U4" s="43"/>
      <c r="V4" s="43"/>
      <c r="W4" s="43"/>
      <c r="X4" s="43"/>
    </row>
    <row r="5" spans="1:32" x14ac:dyDescent="0.3">
      <c r="B5" s="43"/>
      <c r="C5" s="43"/>
      <c r="D5" s="43"/>
      <c r="E5" s="63"/>
      <c r="F5" s="63"/>
      <c r="G5" s="43"/>
      <c r="H5" s="43"/>
      <c r="I5" s="43"/>
      <c r="J5" s="63"/>
      <c r="K5" s="63"/>
      <c r="L5" s="63"/>
      <c r="M5" s="43"/>
      <c r="N5" s="43"/>
      <c r="O5" s="43"/>
      <c r="P5" s="43"/>
      <c r="Q5" s="43"/>
      <c r="R5" s="43"/>
      <c r="S5" s="43"/>
      <c r="T5" s="43"/>
      <c r="U5" s="43"/>
      <c r="V5" s="43"/>
      <c r="W5" s="43"/>
      <c r="X5" s="43"/>
    </row>
    <row r="6" spans="1:32" x14ac:dyDescent="0.3">
      <c r="B6" s="43"/>
      <c r="C6" s="43"/>
      <c r="D6" s="43"/>
      <c r="E6" s="63"/>
      <c r="F6" s="63"/>
      <c r="G6" s="43"/>
      <c r="H6" s="43"/>
      <c r="I6" s="43"/>
      <c r="J6" s="63"/>
      <c r="K6" s="63"/>
      <c r="L6" s="63"/>
      <c r="M6" s="43"/>
      <c r="N6" s="43"/>
      <c r="O6" s="43"/>
      <c r="P6" s="43"/>
      <c r="Q6" s="43"/>
      <c r="R6" s="43"/>
      <c r="S6" s="43"/>
      <c r="T6" s="43"/>
      <c r="U6" s="43"/>
      <c r="V6" s="43"/>
      <c r="W6" s="43"/>
      <c r="X6" s="43"/>
    </row>
    <row r="7" spans="1:32" x14ac:dyDescent="0.3">
      <c r="B7" s="43"/>
      <c r="C7" s="43"/>
      <c r="D7" s="43"/>
      <c r="E7" s="63"/>
      <c r="F7" s="63"/>
      <c r="G7" s="43"/>
      <c r="H7" s="43"/>
      <c r="I7" s="43"/>
      <c r="J7" s="63"/>
      <c r="K7" s="63"/>
      <c r="L7" s="63"/>
      <c r="M7" s="43"/>
      <c r="N7" s="43"/>
      <c r="O7" s="43"/>
      <c r="P7" s="43"/>
      <c r="Q7" s="43"/>
      <c r="R7" s="43"/>
      <c r="S7" s="43"/>
      <c r="T7" s="43"/>
      <c r="U7" s="43"/>
      <c r="V7" s="43"/>
      <c r="W7" s="43"/>
      <c r="X7" s="43"/>
    </row>
    <row r="8" spans="1:32" x14ac:dyDescent="0.3">
      <c r="B8" s="43"/>
      <c r="C8" s="43"/>
      <c r="D8" s="43"/>
      <c r="E8" s="63"/>
      <c r="F8" s="63"/>
      <c r="G8" s="43"/>
      <c r="H8" s="43"/>
      <c r="I8" s="43"/>
      <c r="J8" s="63"/>
      <c r="K8" s="63"/>
      <c r="L8" s="63"/>
      <c r="M8" s="43"/>
      <c r="N8" s="43"/>
      <c r="O8" s="43"/>
      <c r="P8" s="43"/>
      <c r="Q8" s="43"/>
      <c r="R8" s="43"/>
      <c r="S8" s="43"/>
      <c r="T8" s="43"/>
      <c r="U8" s="43"/>
      <c r="V8" s="43"/>
      <c r="W8" s="43"/>
      <c r="X8" s="43"/>
    </row>
    <row r="9" spans="1:32" x14ac:dyDescent="0.3">
      <c r="B9" s="43"/>
      <c r="C9" s="43"/>
      <c r="D9" s="43"/>
      <c r="E9" s="63"/>
      <c r="F9" s="63"/>
      <c r="G9" s="43"/>
      <c r="H9" s="43"/>
      <c r="I9" s="43"/>
      <c r="J9" s="63"/>
      <c r="K9" s="63"/>
      <c r="L9" s="63"/>
      <c r="M9" s="43"/>
      <c r="N9" s="43"/>
      <c r="O9" s="43"/>
      <c r="P9" s="43"/>
      <c r="Q9" s="43"/>
      <c r="R9" s="43"/>
      <c r="S9" s="43"/>
      <c r="T9" s="43"/>
      <c r="U9" s="43"/>
      <c r="V9" s="43"/>
      <c r="W9" s="43"/>
      <c r="X9" s="43"/>
    </row>
    <row r="10" spans="1:32" ht="10.7" customHeight="1" x14ac:dyDescent="0.3">
      <c r="B10" s="43"/>
      <c r="C10" s="43"/>
      <c r="D10" s="43"/>
      <c r="E10" s="63"/>
      <c r="F10" s="63"/>
      <c r="G10" s="43"/>
      <c r="H10" s="43"/>
      <c r="I10" s="43"/>
      <c r="J10" s="63"/>
      <c r="K10" s="63"/>
      <c r="L10" s="63"/>
      <c r="M10" s="43"/>
      <c r="N10" s="43"/>
      <c r="O10" s="43"/>
      <c r="P10" s="43"/>
      <c r="Q10" s="43"/>
      <c r="R10" s="43"/>
      <c r="S10" s="43"/>
      <c r="T10" s="43"/>
      <c r="U10" s="43"/>
      <c r="V10" s="43"/>
      <c r="W10" s="43"/>
      <c r="X10" s="43"/>
    </row>
    <row r="11" spans="1:32" ht="8.4499999999999993" customHeight="1" x14ac:dyDescent="0.3">
      <c r="B11" s="43"/>
      <c r="C11" s="43"/>
      <c r="D11" s="43"/>
      <c r="E11" s="63"/>
      <c r="F11" s="63"/>
      <c r="G11" s="43"/>
      <c r="H11" s="43"/>
      <c r="I11" s="43"/>
      <c r="J11" s="63"/>
      <c r="K11" s="63"/>
      <c r="L11" s="63"/>
      <c r="M11" s="43"/>
      <c r="N11" s="43"/>
      <c r="O11" s="43"/>
      <c r="P11" s="43"/>
      <c r="Q11" s="43"/>
      <c r="R11" s="43"/>
      <c r="S11" s="43"/>
      <c r="T11" s="43"/>
      <c r="U11" s="43"/>
      <c r="V11" s="43"/>
      <c r="W11" s="43"/>
      <c r="X11" s="43"/>
    </row>
    <row r="12" spans="1:32" ht="7.9" customHeight="1" x14ac:dyDescent="0.3">
      <c r="B12" s="43"/>
      <c r="C12" s="43"/>
      <c r="D12" s="43"/>
      <c r="E12" s="63"/>
      <c r="F12" s="63"/>
      <c r="G12" s="43"/>
      <c r="H12" s="43"/>
      <c r="I12" s="43"/>
      <c r="J12" s="63"/>
      <c r="K12" s="63"/>
      <c r="L12" s="63"/>
      <c r="M12" s="43"/>
      <c r="N12" s="43"/>
      <c r="O12" s="43"/>
      <c r="P12" s="43"/>
      <c r="Q12" s="43"/>
      <c r="R12" s="43"/>
      <c r="S12" s="43"/>
      <c r="T12" s="43"/>
      <c r="U12" s="43"/>
      <c r="V12" s="43"/>
      <c r="W12" s="43"/>
      <c r="X12" s="43"/>
    </row>
    <row r="13" spans="1:32" ht="10.9" customHeight="1" x14ac:dyDescent="0.3">
      <c r="B13" s="43"/>
      <c r="C13" s="43"/>
      <c r="D13" s="43"/>
      <c r="E13" s="63"/>
      <c r="F13" s="63"/>
      <c r="G13" s="43"/>
      <c r="H13" s="43"/>
      <c r="I13" s="43"/>
      <c r="J13" s="63"/>
      <c r="K13" s="63"/>
      <c r="L13" s="63"/>
      <c r="M13" s="43"/>
      <c r="N13" s="43"/>
      <c r="O13" s="43"/>
      <c r="P13" s="43"/>
      <c r="Q13" s="43"/>
      <c r="R13" s="43"/>
      <c r="S13" s="43"/>
      <c r="T13" s="43"/>
      <c r="U13" s="43"/>
      <c r="V13" s="43"/>
      <c r="W13" s="43"/>
      <c r="X13" s="43"/>
    </row>
    <row r="14" spans="1:32" s="127" customFormat="1" ht="18" x14ac:dyDescent="0.25">
      <c r="B14" s="168" t="s">
        <v>24</v>
      </c>
      <c r="C14" s="168"/>
      <c r="D14" s="168"/>
      <c r="E14" s="168"/>
      <c r="F14" s="168"/>
      <c r="G14" s="168"/>
      <c r="H14" s="168"/>
      <c r="I14" s="168"/>
      <c r="J14" s="64"/>
      <c r="K14" s="64"/>
      <c r="L14" s="64"/>
      <c r="M14" s="128"/>
      <c r="N14" s="128"/>
      <c r="O14" s="128"/>
      <c r="P14" s="128"/>
      <c r="Q14" s="128"/>
      <c r="R14" s="128"/>
      <c r="S14" s="128"/>
      <c r="T14" s="128"/>
      <c r="U14" s="128"/>
      <c r="V14" s="128"/>
      <c r="W14" s="128"/>
      <c r="X14" s="128"/>
      <c r="Y14" s="128"/>
      <c r="Z14" s="128"/>
      <c r="AA14" s="128"/>
      <c r="AB14" s="128"/>
      <c r="AC14" s="128"/>
      <c r="AD14" s="128"/>
      <c r="AE14" s="128"/>
      <c r="AF14" s="128"/>
    </row>
    <row r="15" spans="1:32" s="127" customFormat="1" ht="108.75" thickBot="1" x14ac:dyDescent="0.3">
      <c r="B15" s="129" t="s">
        <v>25</v>
      </c>
      <c r="C15" s="129" t="s">
        <v>6</v>
      </c>
      <c r="D15" s="130" t="s">
        <v>8</v>
      </c>
      <c r="E15" s="131" t="s">
        <v>26</v>
      </c>
      <c r="F15" s="131" t="s">
        <v>27</v>
      </c>
      <c r="G15" s="131" t="s">
        <v>28</v>
      </c>
      <c r="H15" s="132" t="s">
        <v>29</v>
      </c>
      <c r="I15" s="131" t="s">
        <v>30</v>
      </c>
      <c r="J15" s="64"/>
      <c r="K15" s="64"/>
      <c r="L15" s="64"/>
      <c r="M15" s="128"/>
      <c r="N15" s="128"/>
      <c r="O15" s="128"/>
      <c r="P15" s="128"/>
      <c r="Q15" s="128"/>
      <c r="R15" s="128"/>
      <c r="S15" s="128"/>
      <c r="T15" s="128"/>
      <c r="U15" s="128"/>
      <c r="V15" s="128"/>
      <c r="W15" s="128"/>
      <c r="X15" s="128"/>
      <c r="Y15" s="128"/>
      <c r="Z15" s="128"/>
      <c r="AA15" s="128"/>
      <c r="AB15" s="128"/>
      <c r="AC15" s="128"/>
      <c r="AD15" s="128"/>
      <c r="AE15" s="128"/>
      <c r="AF15" s="128"/>
    </row>
    <row r="16" spans="1:32" s="127" customFormat="1" ht="102.75" customHeight="1" x14ac:dyDescent="0.25">
      <c r="A16" s="133" t="str">
        <f>1&amp;E16</f>
        <v>1a</v>
      </c>
      <c r="B16" s="184" t="s">
        <v>31</v>
      </c>
      <c r="C16" s="194" t="s">
        <v>32</v>
      </c>
      <c r="D16" s="181" t="s">
        <v>33</v>
      </c>
      <c r="E16" s="134" t="s">
        <v>34</v>
      </c>
      <c r="F16" s="135" t="s">
        <v>35</v>
      </c>
      <c r="G16" s="152" t="s">
        <v>39</v>
      </c>
      <c r="H16" s="121" t="s">
        <v>200</v>
      </c>
      <c r="I16" s="136" t="str">
        <f>+IF(G16="Si","Mantenimiento del control",IF(G16="En proceso","Oportunidad de mejora","Deficiencia de control"))</f>
        <v>Mantenimiento del control</v>
      </c>
      <c r="J16" s="158">
        <f t="shared" ref="J16:J27" si="0">+IF(G16="Si",20,IF(G16="En proceso",10,0))</f>
        <v>20</v>
      </c>
      <c r="K16" s="158">
        <v>0.123</v>
      </c>
      <c r="L16" s="158">
        <f>+J16+K16</f>
        <v>20.123000000000001</v>
      </c>
    </row>
    <row r="17" spans="1:32" s="127" customFormat="1" ht="100.5" customHeight="1" x14ac:dyDescent="0.25">
      <c r="A17" s="133" t="str">
        <f t="shared" ref="A17:A27" si="1">1&amp;E17</f>
        <v>1b</v>
      </c>
      <c r="B17" s="185"/>
      <c r="C17" s="195"/>
      <c r="D17" s="182"/>
      <c r="E17" s="137" t="s">
        <v>37</v>
      </c>
      <c r="F17" s="65" t="s">
        <v>38</v>
      </c>
      <c r="G17" s="138" t="s">
        <v>39</v>
      </c>
      <c r="H17" s="78" t="s">
        <v>201</v>
      </c>
      <c r="I17" s="77" t="str">
        <f t="shared" ref="I17:I59" si="2">+IF(G17="Si","Mantenimiento del control",IF(G17="En proceso","Oportunidad de mejora","Deficiencia de control"))</f>
        <v>Mantenimiento del control</v>
      </c>
      <c r="J17" s="159">
        <f t="shared" si="0"/>
        <v>20</v>
      </c>
      <c r="K17" s="158">
        <v>0.1234</v>
      </c>
      <c r="L17" s="158">
        <f t="shared" ref="L17:L59" si="3">+J17+K17</f>
        <v>20.1234</v>
      </c>
    </row>
    <row r="18" spans="1:32" s="127" customFormat="1" ht="99.75" customHeight="1" x14ac:dyDescent="0.25">
      <c r="A18" s="133" t="str">
        <f t="shared" si="1"/>
        <v>1c</v>
      </c>
      <c r="B18" s="185"/>
      <c r="C18" s="195"/>
      <c r="D18" s="182"/>
      <c r="E18" s="137" t="s">
        <v>40</v>
      </c>
      <c r="F18" s="65" t="s">
        <v>41</v>
      </c>
      <c r="G18" s="138" t="s">
        <v>39</v>
      </c>
      <c r="H18" s="78" t="s">
        <v>202</v>
      </c>
      <c r="I18" s="77" t="str">
        <f t="shared" si="2"/>
        <v>Mantenimiento del control</v>
      </c>
      <c r="J18" s="159">
        <f t="shared" si="0"/>
        <v>20</v>
      </c>
      <c r="K18" s="158">
        <v>0.12345</v>
      </c>
      <c r="L18" s="158">
        <f t="shared" si="3"/>
        <v>20.123449999999998</v>
      </c>
    </row>
    <row r="19" spans="1:32" s="127" customFormat="1" ht="90.95" customHeight="1" x14ac:dyDescent="0.25">
      <c r="A19" s="133" t="str">
        <f t="shared" si="1"/>
        <v>1d</v>
      </c>
      <c r="B19" s="185"/>
      <c r="C19" s="195"/>
      <c r="D19" s="182"/>
      <c r="E19" s="137" t="s">
        <v>42</v>
      </c>
      <c r="F19" s="65" t="s">
        <v>43</v>
      </c>
      <c r="G19" s="138" t="s">
        <v>76</v>
      </c>
      <c r="H19" s="78" t="s">
        <v>203</v>
      </c>
      <c r="I19" s="77" t="str">
        <f t="shared" si="2"/>
        <v>Oportunidad de mejora</v>
      </c>
      <c r="J19" s="159">
        <f t="shared" si="0"/>
        <v>10</v>
      </c>
      <c r="K19" s="158">
        <v>0.123456</v>
      </c>
      <c r="L19" s="158">
        <f t="shared" si="3"/>
        <v>10.123455999999999</v>
      </c>
    </row>
    <row r="20" spans="1:32" s="127" customFormat="1" ht="108" customHeight="1" x14ac:dyDescent="0.25">
      <c r="A20" s="133" t="str">
        <f t="shared" si="1"/>
        <v>1e</v>
      </c>
      <c r="B20" s="185"/>
      <c r="C20" s="195"/>
      <c r="D20" s="182"/>
      <c r="E20" s="137" t="s">
        <v>44</v>
      </c>
      <c r="F20" s="65" t="s">
        <v>45</v>
      </c>
      <c r="G20" s="138" t="s">
        <v>39</v>
      </c>
      <c r="H20" s="78" t="s">
        <v>204</v>
      </c>
      <c r="I20" s="77" t="str">
        <f t="shared" si="2"/>
        <v>Mantenimiento del control</v>
      </c>
      <c r="J20" s="159">
        <f t="shared" si="0"/>
        <v>20</v>
      </c>
      <c r="K20" s="158">
        <v>0.12345678</v>
      </c>
      <c r="L20" s="158">
        <f t="shared" si="3"/>
        <v>20.123456780000001</v>
      </c>
    </row>
    <row r="21" spans="1:32" s="127" customFormat="1" ht="117" customHeight="1" x14ac:dyDescent="0.25">
      <c r="A21" s="133" t="str">
        <f t="shared" si="1"/>
        <v>1f</v>
      </c>
      <c r="B21" s="185"/>
      <c r="C21" s="195"/>
      <c r="D21" s="182"/>
      <c r="E21" s="137" t="s">
        <v>46</v>
      </c>
      <c r="F21" s="65" t="s">
        <v>47</v>
      </c>
      <c r="G21" s="138" t="s">
        <v>39</v>
      </c>
      <c r="H21" s="78" t="s">
        <v>205</v>
      </c>
      <c r="I21" s="77" t="str">
        <f t="shared" si="2"/>
        <v>Mantenimiento del control</v>
      </c>
      <c r="J21" s="159">
        <f t="shared" si="0"/>
        <v>20</v>
      </c>
      <c r="K21" s="158">
        <v>0.123456789</v>
      </c>
      <c r="L21" s="158">
        <f t="shared" si="3"/>
        <v>20.123456788999999</v>
      </c>
    </row>
    <row r="22" spans="1:32" s="127" customFormat="1" ht="125.25" customHeight="1" x14ac:dyDescent="0.25">
      <c r="A22" s="133" t="str">
        <f t="shared" si="1"/>
        <v>1g</v>
      </c>
      <c r="B22" s="185"/>
      <c r="C22" s="195"/>
      <c r="D22" s="182"/>
      <c r="E22" s="137" t="s">
        <v>48</v>
      </c>
      <c r="F22" s="65" t="s">
        <v>49</v>
      </c>
      <c r="G22" s="138" t="s">
        <v>39</v>
      </c>
      <c r="H22" s="163" t="s">
        <v>206</v>
      </c>
      <c r="I22" s="77" t="str">
        <f t="shared" si="2"/>
        <v>Mantenimiento del control</v>
      </c>
      <c r="J22" s="159">
        <f t="shared" si="0"/>
        <v>20</v>
      </c>
      <c r="K22" s="158">
        <v>0.12345678910000001</v>
      </c>
      <c r="L22" s="158">
        <f t="shared" si="3"/>
        <v>20.1234567891</v>
      </c>
    </row>
    <row r="23" spans="1:32" s="127" customFormat="1" ht="177.75" customHeight="1" x14ac:dyDescent="0.25">
      <c r="A23" s="133" t="str">
        <f t="shared" si="1"/>
        <v>1h</v>
      </c>
      <c r="B23" s="185"/>
      <c r="C23" s="195"/>
      <c r="D23" s="182"/>
      <c r="E23" s="137" t="s">
        <v>50</v>
      </c>
      <c r="F23" s="65" t="s">
        <v>51</v>
      </c>
      <c r="G23" s="138" t="s">
        <v>39</v>
      </c>
      <c r="H23" s="78" t="s">
        <v>207</v>
      </c>
      <c r="I23" s="77" t="str">
        <f t="shared" si="2"/>
        <v>Mantenimiento del control</v>
      </c>
      <c r="J23" s="159">
        <f t="shared" si="0"/>
        <v>20</v>
      </c>
      <c r="K23" s="158">
        <v>0.12345678911999999</v>
      </c>
      <c r="L23" s="158">
        <f t="shared" si="3"/>
        <v>20.123456789119999</v>
      </c>
    </row>
    <row r="24" spans="1:32" s="127" customFormat="1" ht="117.75" customHeight="1" x14ac:dyDescent="0.25">
      <c r="A24" s="133" t="str">
        <f t="shared" si="1"/>
        <v>1i</v>
      </c>
      <c r="B24" s="185"/>
      <c r="C24" s="195"/>
      <c r="D24" s="182"/>
      <c r="E24" s="137" t="s">
        <v>52</v>
      </c>
      <c r="F24" s="165" t="s">
        <v>53</v>
      </c>
      <c r="G24" s="166" t="s">
        <v>39</v>
      </c>
      <c r="H24" s="167" t="s">
        <v>237</v>
      </c>
      <c r="I24" s="77" t="str">
        <f t="shared" si="2"/>
        <v>Mantenimiento del control</v>
      </c>
      <c r="J24" s="159">
        <f t="shared" si="0"/>
        <v>20</v>
      </c>
      <c r="K24" s="158">
        <v>0.123456789123</v>
      </c>
      <c r="L24" s="158">
        <f t="shared" si="3"/>
        <v>20.123456789123001</v>
      </c>
    </row>
    <row r="25" spans="1:32" s="127" customFormat="1" ht="112.5" customHeight="1" x14ac:dyDescent="0.25">
      <c r="A25" s="133" t="str">
        <f t="shared" si="1"/>
        <v>1j</v>
      </c>
      <c r="B25" s="185"/>
      <c r="C25" s="195"/>
      <c r="D25" s="182"/>
      <c r="E25" s="137" t="s">
        <v>54</v>
      </c>
      <c r="F25" s="65" t="s">
        <v>55</v>
      </c>
      <c r="G25" s="138" t="s">
        <v>39</v>
      </c>
      <c r="H25" s="122" t="s">
        <v>208</v>
      </c>
      <c r="I25" s="77" t="str">
        <f t="shared" si="2"/>
        <v>Mantenimiento del control</v>
      </c>
      <c r="J25" s="159">
        <f t="shared" si="0"/>
        <v>20</v>
      </c>
      <c r="K25" s="158">
        <v>0.1234567891234</v>
      </c>
      <c r="L25" s="158">
        <f t="shared" si="3"/>
        <v>20.123456789123399</v>
      </c>
    </row>
    <row r="26" spans="1:32" s="127" customFormat="1" ht="102" customHeight="1" x14ac:dyDescent="0.25">
      <c r="A26" s="133" t="str">
        <f t="shared" si="1"/>
        <v>1k</v>
      </c>
      <c r="B26" s="185"/>
      <c r="C26" s="195"/>
      <c r="D26" s="182"/>
      <c r="E26" s="137" t="s">
        <v>56</v>
      </c>
      <c r="F26" s="65" t="s">
        <v>57</v>
      </c>
      <c r="G26" s="138" t="s">
        <v>39</v>
      </c>
      <c r="H26" s="78" t="s">
        <v>238</v>
      </c>
      <c r="I26" s="77" t="str">
        <f t="shared" si="2"/>
        <v>Mantenimiento del control</v>
      </c>
      <c r="J26" s="159">
        <f t="shared" si="0"/>
        <v>20</v>
      </c>
      <c r="K26" s="158">
        <v>0.12345678912345</v>
      </c>
      <c r="L26" s="158">
        <f t="shared" si="3"/>
        <v>20.123456789123448</v>
      </c>
    </row>
    <row r="27" spans="1:32" s="144" customFormat="1" ht="117.75" customHeight="1" thickBot="1" x14ac:dyDescent="0.3">
      <c r="A27" s="139" t="str">
        <f t="shared" si="1"/>
        <v>1l</v>
      </c>
      <c r="B27" s="186"/>
      <c r="C27" s="196"/>
      <c r="D27" s="183"/>
      <c r="E27" s="140" t="s">
        <v>58</v>
      </c>
      <c r="F27" s="141" t="s">
        <v>59</v>
      </c>
      <c r="G27" s="142" t="s">
        <v>39</v>
      </c>
      <c r="H27" s="164" t="s">
        <v>209</v>
      </c>
      <c r="I27" s="143" t="str">
        <f t="shared" si="2"/>
        <v>Mantenimiento del control</v>
      </c>
      <c r="J27" s="160">
        <f t="shared" si="0"/>
        <v>20</v>
      </c>
      <c r="K27" s="161">
        <v>0.12345678912345601</v>
      </c>
      <c r="L27" s="161">
        <f t="shared" si="3"/>
        <v>20.123456789123455</v>
      </c>
    </row>
    <row r="28" spans="1:32" s="127" customFormat="1" ht="139.5" customHeight="1" thickTop="1" x14ac:dyDescent="0.25">
      <c r="A28" s="133" t="str">
        <f>2&amp;E28</f>
        <v>2a</v>
      </c>
      <c r="B28" s="187" t="s">
        <v>60</v>
      </c>
      <c r="C28" s="197" t="s">
        <v>61</v>
      </c>
      <c r="D28" s="190" t="s">
        <v>62</v>
      </c>
      <c r="E28" s="145" t="s">
        <v>34</v>
      </c>
      <c r="F28" s="146" t="s">
        <v>63</v>
      </c>
      <c r="G28" s="147" t="s">
        <v>39</v>
      </c>
      <c r="H28" s="123" t="s">
        <v>215</v>
      </c>
      <c r="I28" s="148" t="str">
        <f t="shared" si="2"/>
        <v>Mantenimiento del control</v>
      </c>
      <c r="J28" s="158">
        <f>+IF(G28="Si",40,IF(G28="En proceso",30,20))</f>
        <v>40</v>
      </c>
      <c r="K28" s="158">
        <v>0.23</v>
      </c>
      <c r="L28" s="158">
        <f t="shared" si="3"/>
        <v>40.229999999999997</v>
      </c>
    </row>
    <row r="29" spans="1:32" s="127" customFormat="1" ht="123" customHeight="1" x14ac:dyDescent="0.25">
      <c r="A29" s="133" t="str">
        <f t="shared" ref="A29:A31" si="4">2&amp;E29</f>
        <v>2b</v>
      </c>
      <c r="B29" s="188"/>
      <c r="C29" s="198"/>
      <c r="D29" s="191"/>
      <c r="E29" s="137" t="s">
        <v>37</v>
      </c>
      <c r="F29" s="65" t="s">
        <v>64</v>
      </c>
      <c r="G29" s="138" t="s">
        <v>39</v>
      </c>
      <c r="H29" s="122" t="s">
        <v>210</v>
      </c>
      <c r="I29" s="77" t="str">
        <f t="shared" si="2"/>
        <v>Mantenimiento del control</v>
      </c>
      <c r="J29" s="158">
        <f>+IF(G29="Si",40,IF(G29="En proceso",30,20))</f>
        <v>40</v>
      </c>
      <c r="K29" s="158">
        <v>0.23400000000000001</v>
      </c>
      <c r="L29" s="158">
        <f t="shared" si="3"/>
        <v>40.234000000000002</v>
      </c>
    </row>
    <row r="30" spans="1:32" s="127" customFormat="1" ht="102.75" customHeight="1" x14ac:dyDescent="0.25">
      <c r="A30" s="133" t="str">
        <f t="shared" si="4"/>
        <v>2c</v>
      </c>
      <c r="B30" s="188"/>
      <c r="C30" s="198"/>
      <c r="D30" s="191"/>
      <c r="E30" s="137" t="s">
        <v>40</v>
      </c>
      <c r="F30" s="65" t="s">
        <v>65</v>
      </c>
      <c r="G30" s="138" t="s">
        <v>39</v>
      </c>
      <c r="H30" s="122" t="s">
        <v>211</v>
      </c>
      <c r="I30" s="77" t="str">
        <f t="shared" si="2"/>
        <v>Mantenimiento del control</v>
      </c>
      <c r="J30" s="158">
        <f>+IF(G30="Si",40,IF(G30="En proceso",30,20))</f>
        <v>40</v>
      </c>
      <c r="K30" s="158">
        <v>0.23449999999999999</v>
      </c>
      <c r="L30" s="158">
        <f t="shared" si="3"/>
        <v>40.234499999999997</v>
      </c>
    </row>
    <row r="31" spans="1:32" s="127" customFormat="1" ht="116.25" customHeight="1" thickBot="1" x14ac:dyDescent="0.3">
      <c r="A31" s="133" t="str">
        <f t="shared" si="4"/>
        <v>2d</v>
      </c>
      <c r="B31" s="189"/>
      <c r="C31" s="199"/>
      <c r="D31" s="192"/>
      <c r="E31" s="149" t="s">
        <v>42</v>
      </c>
      <c r="F31" s="150" t="s">
        <v>66</v>
      </c>
      <c r="G31" s="151" t="s">
        <v>39</v>
      </c>
      <c r="H31" s="125" t="s">
        <v>212</v>
      </c>
      <c r="I31" s="143" t="str">
        <f t="shared" si="2"/>
        <v>Mantenimiento del control</v>
      </c>
      <c r="J31" s="158">
        <f>+IF(G31="Si",40,IF(G31="En proceso",30,20))</f>
        <v>40</v>
      </c>
      <c r="K31" s="158">
        <v>0.23455999999999999</v>
      </c>
      <c r="L31" s="158">
        <f t="shared" si="3"/>
        <v>40.234560000000002</v>
      </c>
    </row>
    <row r="32" spans="1:32" s="127" customFormat="1" ht="123.75" customHeight="1" x14ac:dyDescent="0.25">
      <c r="A32" s="133" t="str">
        <f>3&amp;E32</f>
        <v>3a</v>
      </c>
      <c r="B32" s="209" t="s">
        <v>67</v>
      </c>
      <c r="C32" s="209" t="s">
        <v>61</v>
      </c>
      <c r="D32" s="210" t="s">
        <v>68</v>
      </c>
      <c r="E32" s="137" t="s">
        <v>34</v>
      </c>
      <c r="F32" s="65" t="s">
        <v>69</v>
      </c>
      <c r="G32" s="138" t="s">
        <v>39</v>
      </c>
      <c r="H32" s="122" t="s">
        <v>214</v>
      </c>
      <c r="I32" s="77" t="str">
        <f t="shared" si="2"/>
        <v>Mantenimiento del control</v>
      </c>
      <c r="J32" s="158">
        <f t="shared" ref="J32:J37" si="5">+IF(G32="Si",40,IF(G32="En proceso",30,20))</f>
        <v>40</v>
      </c>
      <c r="K32" s="162">
        <v>0.234567</v>
      </c>
      <c r="L32" s="158">
        <f t="shared" ref="L32:L37" si="6">+J32+K32</f>
        <v>40.234566999999998</v>
      </c>
      <c r="M32" s="128"/>
      <c r="N32" s="128"/>
      <c r="O32" s="128"/>
      <c r="P32" s="128"/>
      <c r="Q32" s="128"/>
      <c r="R32" s="128"/>
      <c r="S32" s="128"/>
      <c r="T32" s="128"/>
      <c r="U32" s="128"/>
      <c r="V32" s="128"/>
      <c r="W32" s="128"/>
      <c r="X32" s="128"/>
      <c r="Y32" s="128"/>
      <c r="Z32" s="128"/>
      <c r="AA32" s="128"/>
      <c r="AB32" s="128"/>
      <c r="AC32" s="128"/>
      <c r="AD32" s="128"/>
      <c r="AE32" s="128"/>
      <c r="AF32" s="128"/>
    </row>
    <row r="33" spans="1:32" s="127" customFormat="1" ht="88.5" customHeight="1" x14ac:dyDescent="0.25">
      <c r="A33" s="133" t="str">
        <f t="shared" ref="A33:A34" si="7">3&amp;E33</f>
        <v>3b</v>
      </c>
      <c r="B33" s="209"/>
      <c r="C33" s="209"/>
      <c r="D33" s="210"/>
      <c r="E33" s="137" t="s">
        <v>37</v>
      </c>
      <c r="F33" s="65" t="s">
        <v>70</v>
      </c>
      <c r="G33" s="138" t="s">
        <v>39</v>
      </c>
      <c r="H33" s="78" t="s">
        <v>213</v>
      </c>
      <c r="I33" s="77" t="str">
        <f t="shared" si="2"/>
        <v>Mantenimiento del control</v>
      </c>
      <c r="J33" s="158">
        <f t="shared" si="5"/>
        <v>40</v>
      </c>
      <c r="K33" s="162">
        <v>0.23456779999999999</v>
      </c>
      <c r="L33" s="158">
        <f t="shared" si="6"/>
        <v>40.234567800000001</v>
      </c>
      <c r="M33" s="128"/>
      <c r="N33" s="128"/>
      <c r="O33" s="128"/>
      <c r="P33" s="128"/>
      <c r="Q33" s="128"/>
      <c r="R33" s="128"/>
      <c r="S33" s="128"/>
      <c r="T33" s="128"/>
      <c r="U33" s="128"/>
      <c r="V33" s="128"/>
      <c r="W33" s="128"/>
      <c r="X33" s="128"/>
      <c r="Y33" s="128"/>
      <c r="Z33" s="128"/>
      <c r="AA33" s="128"/>
      <c r="AB33" s="128"/>
      <c r="AC33" s="128"/>
      <c r="AD33" s="128"/>
      <c r="AE33" s="128"/>
      <c r="AF33" s="128"/>
    </row>
    <row r="34" spans="1:32" s="127" customFormat="1" ht="113.25" customHeight="1" thickBot="1" x14ac:dyDescent="0.3">
      <c r="A34" s="133" t="str">
        <f t="shared" si="7"/>
        <v>3c</v>
      </c>
      <c r="B34" s="209"/>
      <c r="C34" s="209"/>
      <c r="D34" s="210"/>
      <c r="E34" s="137" t="s">
        <v>40</v>
      </c>
      <c r="F34" s="65" t="s">
        <v>71</v>
      </c>
      <c r="G34" s="138" t="s">
        <v>39</v>
      </c>
      <c r="H34" s="78" t="s">
        <v>216</v>
      </c>
      <c r="I34" s="77" t="str">
        <f t="shared" si="2"/>
        <v>Mantenimiento del control</v>
      </c>
      <c r="J34" s="158">
        <f t="shared" si="5"/>
        <v>40</v>
      </c>
      <c r="K34" s="162">
        <v>0.23456789</v>
      </c>
      <c r="L34" s="158">
        <f t="shared" si="6"/>
        <v>40.234567890000001</v>
      </c>
      <c r="M34" s="128"/>
      <c r="N34" s="128"/>
      <c r="O34" s="128"/>
      <c r="P34" s="128"/>
      <c r="Q34" s="128"/>
      <c r="R34" s="128"/>
      <c r="S34" s="128"/>
      <c r="T34" s="128"/>
      <c r="U34" s="128"/>
      <c r="V34" s="128"/>
      <c r="W34" s="128"/>
      <c r="X34" s="128"/>
      <c r="Y34" s="128"/>
      <c r="Z34" s="128"/>
      <c r="AA34" s="128"/>
      <c r="AB34" s="128"/>
      <c r="AC34" s="128"/>
      <c r="AD34" s="128"/>
      <c r="AE34" s="128"/>
      <c r="AF34" s="128"/>
    </row>
    <row r="35" spans="1:32" s="127" customFormat="1" ht="111" customHeight="1" x14ac:dyDescent="0.25">
      <c r="A35" s="133" t="str">
        <f>4&amp;E35</f>
        <v>4a</v>
      </c>
      <c r="B35" s="211" t="s">
        <v>72</v>
      </c>
      <c r="C35" s="198" t="s">
        <v>61</v>
      </c>
      <c r="D35" s="191" t="s">
        <v>73</v>
      </c>
      <c r="E35" s="134" t="s">
        <v>34</v>
      </c>
      <c r="F35" s="135" t="s">
        <v>74</v>
      </c>
      <c r="G35" s="152" t="s">
        <v>39</v>
      </c>
      <c r="H35" s="121" t="s">
        <v>217</v>
      </c>
      <c r="I35" s="136" t="str">
        <f t="shared" si="2"/>
        <v>Mantenimiento del control</v>
      </c>
      <c r="J35" s="158">
        <f t="shared" si="5"/>
        <v>40</v>
      </c>
      <c r="K35" s="162">
        <v>0.23456789119999999</v>
      </c>
      <c r="L35" s="158">
        <f t="shared" si="6"/>
        <v>40.234567891200001</v>
      </c>
      <c r="M35" s="128"/>
      <c r="N35" s="128"/>
      <c r="O35" s="128"/>
      <c r="P35" s="128"/>
      <c r="Q35" s="128"/>
    </row>
    <row r="36" spans="1:32" s="127" customFormat="1" ht="107.25" customHeight="1" x14ac:dyDescent="0.25">
      <c r="A36" s="133" t="str">
        <f t="shared" ref="A36:A37" si="8">4&amp;E36</f>
        <v>4b</v>
      </c>
      <c r="B36" s="211"/>
      <c r="C36" s="198"/>
      <c r="D36" s="191"/>
      <c r="E36" s="137" t="s">
        <v>37</v>
      </c>
      <c r="F36" s="65" t="s">
        <v>75</v>
      </c>
      <c r="G36" s="138" t="s">
        <v>76</v>
      </c>
      <c r="H36" s="78" t="s">
        <v>218</v>
      </c>
      <c r="I36" s="77" t="str">
        <f t="shared" si="2"/>
        <v>Oportunidad de mejora</v>
      </c>
      <c r="J36" s="158">
        <f t="shared" si="5"/>
        <v>30</v>
      </c>
      <c r="K36" s="162">
        <v>0.23456789122999999</v>
      </c>
      <c r="L36" s="158">
        <f t="shared" si="6"/>
        <v>30.23456789123</v>
      </c>
      <c r="M36" s="128"/>
      <c r="N36" s="128"/>
      <c r="O36" s="128"/>
      <c r="P36" s="128"/>
      <c r="Q36" s="128"/>
    </row>
    <row r="37" spans="1:32" s="127" customFormat="1" ht="129" customHeight="1" thickBot="1" x14ac:dyDescent="0.3">
      <c r="A37" s="133" t="str">
        <f t="shared" si="8"/>
        <v>4c</v>
      </c>
      <c r="B37" s="211"/>
      <c r="C37" s="198"/>
      <c r="D37" s="191"/>
      <c r="E37" s="137" t="s">
        <v>40</v>
      </c>
      <c r="F37" s="65" t="s">
        <v>77</v>
      </c>
      <c r="G37" s="138" t="s">
        <v>76</v>
      </c>
      <c r="H37" s="122" t="s">
        <v>219</v>
      </c>
      <c r="I37" s="77" t="str">
        <f t="shared" si="2"/>
        <v>Oportunidad de mejora</v>
      </c>
      <c r="J37" s="158">
        <f t="shared" si="5"/>
        <v>30</v>
      </c>
      <c r="K37" s="162">
        <v>0.23456789123399999</v>
      </c>
      <c r="L37" s="158">
        <f t="shared" si="6"/>
        <v>30.234567891234001</v>
      </c>
      <c r="M37" s="128"/>
      <c r="N37" s="128"/>
      <c r="O37" s="128"/>
      <c r="P37" s="128"/>
      <c r="Q37" s="128"/>
    </row>
    <row r="38" spans="1:32" s="127" customFormat="1" ht="99.75" customHeight="1" x14ac:dyDescent="0.25">
      <c r="A38" s="133" t="str">
        <f>5&amp;E38</f>
        <v>5a</v>
      </c>
      <c r="B38" s="212" t="s">
        <v>78</v>
      </c>
      <c r="C38" s="200" t="s">
        <v>79</v>
      </c>
      <c r="D38" s="215" t="s">
        <v>80</v>
      </c>
      <c r="E38" s="134" t="s">
        <v>34</v>
      </c>
      <c r="F38" s="153" t="s">
        <v>81</v>
      </c>
      <c r="G38" s="152" t="s">
        <v>39</v>
      </c>
      <c r="H38" s="126" t="s">
        <v>220</v>
      </c>
      <c r="I38" s="136" t="str">
        <f t="shared" si="2"/>
        <v>Mantenimiento del control</v>
      </c>
      <c r="J38" s="158">
        <f>+IF(G38="Si",60,IF(G38="En proceso",50,40))</f>
        <v>60</v>
      </c>
      <c r="K38" s="158">
        <v>0.31</v>
      </c>
      <c r="L38" s="158">
        <f t="shared" si="3"/>
        <v>60.31</v>
      </c>
    </row>
    <row r="39" spans="1:32" s="127" customFormat="1" ht="101.25" customHeight="1" x14ac:dyDescent="0.25">
      <c r="A39" s="133" t="str">
        <f t="shared" ref="A39:A42" si="9">5&amp;E39</f>
        <v>5b</v>
      </c>
      <c r="B39" s="213"/>
      <c r="C39" s="201"/>
      <c r="D39" s="216"/>
      <c r="E39" s="137" t="s">
        <v>37</v>
      </c>
      <c r="F39" s="154" t="s">
        <v>82</v>
      </c>
      <c r="G39" s="138" t="s">
        <v>76</v>
      </c>
      <c r="H39" s="78" t="s">
        <v>239</v>
      </c>
      <c r="I39" s="77" t="str">
        <f t="shared" si="2"/>
        <v>Oportunidad de mejora</v>
      </c>
      <c r="J39" s="158">
        <f>+IF(G39="Si",60,IF(G39="En proceso",50,40))</f>
        <v>50</v>
      </c>
      <c r="K39" s="158">
        <v>0.32300000000000001</v>
      </c>
      <c r="L39" s="158">
        <f t="shared" si="3"/>
        <v>50.323</v>
      </c>
    </row>
    <row r="40" spans="1:32" s="127" customFormat="1" ht="124.5" customHeight="1" x14ac:dyDescent="0.25">
      <c r="A40" s="133" t="str">
        <f t="shared" si="9"/>
        <v>5c</v>
      </c>
      <c r="B40" s="213"/>
      <c r="C40" s="201"/>
      <c r="D40" s="216"/>
      <c r="E40" s="137" t="s">
        <v>40</v>
      </c>
      <c r="F40" s="154" t="s">
        <v>83</v>
      </c>
      <c r="G40" s="138" t="s">
        <v>39</v>
      </c>
      <c r="H40" s="78" t="s">
        <v>221</v>
      </c>
      <c r="I40" s="77" t="str">
        <f t="shared" si="2"/>
        <v>Mantenimiento del control</v>
      </c>
      <c r="J40" s="158">
        <f>+IF(G40="Si",60,IF(G40="En proceso",50,40))</f>
        <v>60</v>
      </c>
      <c r="K40" s="158">
        <v>0.32400000000000001</v>
      </c>
      <c r="L40" s="158">
        <f t="shared" si="3"/>
        <v>60.323999999999998</v>
      </c>
    </row>
    <row r="41" spans="1:32" s="127" customFormat="1" ht="119.25" customHeight="1" x14ac:dyDescent="0.25">
      <c r="A41" s="133" t="str">
        <f t="shared" si="9"/>
        <v>5d</v>
      </c>
      <c r="B41" s="213"/>
      <c r="C41" s="201"/>
      <c r="D41" s="216"/>
      <c r="E41" s="137" t="s">
        <v>42</v>
      </c>
      <c r="F41" s="154" t="s">
        <v>84</v>
      </c>
      <c r="G41" s="138" t="s">
        <v>39</v>
      </c>
      <c r="H41" s="78" t="s">
        <v>240</v>
      </c>
      <c r="I41" s="77" t="str">
        <f t="shared" si="2"/>
        <v>Mantenimiento del control</v>
      </c>
      <c r="J41" s="158">
        <f>+IF(G41="Si",60,IF(G41="En proceso",50,40))</f>
        <v>60</v>
      </c>
      <c r="K41" s="158">
        <v>0.32500000000000001</v>
      </c>
      <c r="L41" s="158">
        <f t="shared" si="3"/>
        <v>60.325000000000003</v>
      </c>
    </row>
    <row r="42" spans="1:32" s="127" customFormat="1" ht="126" customHeight="1" thickBot="1" x14ac:dyDescent="0.3">
      <c r="A42" s="133" t="str">
        <f t="shared" si="9"/>
        <v>5e</v>
      </c>
      <c r="B42" s="214"/>
      <c r="C42" s="202"/>
      <c r="D42" s="217"/>
      <c r="E42" s="149" t="s">
        <v>44</v>
      </c>
      <c r="F42" s="150" t="s">
        <v>85</v>
      </c>
      <c r="G42" s="151" t="s">
        <v>39</v>
      </c>
      <c r="H42" s="124" t="s">
        <v>222</v>
      </c>
      <c r="I42" s="143" t="str">
        <f t="shared" si="2"/>
        <v>Mantenimiento del control</v>
      </c>
      <c r="J42" s="158">
        <f>+IF(G42="Si",60,IF(G42="En proceso",50,40))</f>
        <v>60</v>
      </c>
      <c r="K42" s="158">
        <v>0.32600000000000001</v>
      </c>
      <c r="L42" s="158">
        <f t="shared" si="3"/>
        <v>60.326000000000001</v>
      </c>
    </row>
    <row r="43" spans="1:32" s="127" customFormat="1" ht="90" customHeight="1" x14ac:dyDescent="0.25">
      <c r="A43" s="133" t="str">
        <f>6&amp;E43</f>
        <v>6a</v>
      </c>
      <c r="B43" s="172" t="s">
        <v>86</v>
      </c>
      <c r="C43" s="203" t="s">
        <v>87</v>
      </c>
      <c r="D43" s="169" t="s">
        <v>88</v>
      </c>
      <c r="E43" s="134" t="s">
        <v>34</v>
      </c>
      <c r="F43" s="135" t="s">
        <v>89</v>
      </c>
      <c r="G43" s="152" t="s">
        <v>39</v>
      </c>
      <c r="H43" s="121" t="s">
        <v>223</v>
      </c>
      <c r="I43" s="136" t="str">
        <f t="shared" si="2"/>
        <v>Mantenimiento del control</v>
      </c>
      <c r="J43" s="158">
        <f t="shared" ref="J43:J49" si="10">+IF(G43="Si",80,IF(G43="En proceso",70,60))</f>
        <v>80</v>
      </c>
      <c r="K43" s="158">
        <v>0.41199999999999998</v>
      </c>
      <c r="L43" s="158">
        <f t="shared" si="3"/>
        <v>80.412000000000006</v>
      </c>
    </row>
    <row r="44" spans="1:32" s="127" customFormat="1" ht="133.5" customHeight="1" x14ac:dyDescent="0.25">
      <c r="A44" s="133" t="str">
        <f t="shared" ref="A44:A49" si="11">6&amp;E44</f>
        <v>6b</v>
      </c>
      <c r="B44" s="173"/>
      <c r="C44" s="204"/>
      <c r="D44" s="170"/>
      <c r="E44" s="137" t="s">
        <v>37</v>
      </c>
      <c r="F44" s="65" t="s">
        <v>90</v>
      </c>
      <c r="G44" s="138" t="s">
        <v>39</v>
      </c>
      <c r="H44" s="78" t="s">
        <v>224</v>
      </c>
      <c r="I44" s="77" t="str">
        <f t="shared" si="2"/>
        <v>Mantenimiento del control</v>
      </c>
      <c r="J44" s="158">
        <f t="shared" si="10"/>
        <v>80</v>
      </c>
      <c r="K44" s="158">
        <v>0.4123</v>
      </c>
      <c r="L44" s="158">
        <f t="shared" si="3"/>
        <v>80.412300000000002</v>
      </c>
    </row>
    <row r="45" spans="1:32" s="127" customFormat="1" ht="120" customHeight="1" x14ac:dyDescent="0.25">
      <c r="A45" s="133" t="str">
        <f t="shared" si="11"/>
        <v>6c</v>
      </c>
      <c r="B45" s="173"/>
      <c r="C45" s="204"/>
      <c r="D45" s="170"/>
      <c r="E45" s="137" t="s">
        <v>40</v>
      </c>
      <c r="F45" s="65" t="s">
        <v>91</v>
      </c>
      <c r="G45" s="138" t="s">
        <v>39</v>
      </c>
      <c r="H45" s="78" t="s">
        <v>229</v>
      </c>
      <c r="I45" s="77" t="str">
        <f t="shared" si="2"/>
        <v>Mantenimiento del control</v>
      </c>
      <c r="J45" s="158">
        <f t="shared" si="10"/>
        <v>80</v>
      </c>
      <c r="K45" s="158">
        <v>0.41233999999999998</v>
      </c>
      <c r="L45" s="158">
        <f t="shared" si="3"/>
        <v>80.41234</v>
      </c>
    </row>
    <row r="46" spans="1:32" s="127" customFormat="1" ht="102" customHeight="1" x14ac:dyDescent="0.25">
      <c r="A46" s="133" t="str">
        <f t="shared" si="11"/>
        <v>6d</v>
      </c>
      <c r="B46" s="173"/>
      <c r="C46" s="204"/>
      <c r="D46" s="170"/>
      <c r="E46" s="137" t="s">
        <v>42</v>
      </c>
      <c r="F46" s="65" t="s">
        <v>92</v>
      </c>
      <c r="G46" s="138" t="s">
        <v>39</v>
      </c>
      <c r="H46" s="78" t="s">
        <v>241</v>
      </c>
      <c r="I46" s="77" t="str">
        <f t="shared" si="2"/>
        <v>Mantenimiento del control</v>
      </c>
      <c r="J46" s="158">
        <f t="shared" si="10"/>
        <v>80</v>
      </c>
      <c r="K46" s="158">
        <v>0.41234500000000002</v>
      </c>
      <c r="L46" s="158">
        <f t="shared" si="3"/>
        <v>80.412345000000002</v>
      </c>
    </row>
    <row r="47" spans="1:32" s="127" customFormat="1" ht="101.25" customHeight="1" x14ac:dyDescent="0.25">
      <c r="A47" s="133" t="str">
        <f t="shared" si="11"/>
        <v>6e</v>
      </c>
      <c r="B47" s="173"/>
      <c r="C47" s="204"/>
      <c r="D47" s="170"/>
      <c r="E47" s="137" t="s">
        <v>44</v>
      </c>
      <c r="F47" s="65" t="s">
        <v>93</v>
      </c>
      <c r="G47" s="138" t="s">
        <v>39</v>
      </c>
      <c r="H47" s="78" t="s">
        <v>225</v>
      </c>
      <c r="I47" s="77" t="str">
        <f t="shared" si="2"/>
        <v>Mantenimiento del control</v>
      </c>
      <c r="J47" s="158">
        <f t="shared" si="10"/>
        <v>80</v>
      </c>
      <c r="K47" s="158">
        <v>0.41234559999999998</v>
      </c>
      <c r="L47" s="158">
        <f t="shared" si="3"/>
        <v>80.412345599999995</v>
      </c>
    </row>
    <row r="48" spans="1:32" s="127" customFormat="1" ht="110.25" customHeight="1" x14ac:dyDescent="0.25">
      <c r="A48" s="133" t="str">
        <f t="shared" si="11"/>
        <v>6f</v>
      </c>
      <c r="B48" s="173"/>
      <c r="C48" s="204"/>
      <c r="D48" s="170"/>
      <c r="E48" s="137" t="s">
        <v>46</v>
      </c>
      <c r="F48" s="65" t="s">
        <v>94</v>
      </c>
      <c r="G48" s="138" t="s">
        <v>39</v>
      </c>
      <c r="H48" s="78" t="s">
        <v>226</v>
      </c>
      <c r="I48" s="77" t="str">
        <f t="shared" si="2"/>
        <v>Mantenimiento del control</v>
      </c>
      <c r="J48" s="158">
        <f t="shared" si="10"/>
        <v>80</v>
      </c>
      <c r="K48" s="158">
        <v>0.41234567</v>
      </c>
      <c r="L48" s="158">
        <f t="shared" si="3"/>
        <v>80.412345669999993</v>
      </c>
    </row>
    <row r="49" spans="1:17" s="127" customFormat="1" ht="139.5" customHeight="1" thickBot="1" x14ac:dyDescent="0.3">
      <c r="A49" s="133" t="str">
        <f t="shared" si="11"/>
        <v>6g</v>
      </c>
      <c r="B49" s="174"/>
      <c r="C49" s="205"/>
      <c r="D49" s="171"/>
      <c r="E49" s="149" t="s">
        <v>48</v>
      </c>
      <c r="F49" s="150" t="s">
        <v>95</v>
      </c>
      <c r="G49" s="151" t="s">
        <v>76</v>
      </c>
      <c r="H49" s="124" t="s">
        <v>227</v>
      </c>
      <c r="I49" s="143" t="str">
        <f t="shared" si="2"/>
        <v>Oportunidad de mejora</v>
      </c>
      <c r="J49" s="158">
        <f t="shared" si="10"/>
        <v>70</v>
      </c>
      <c r="K49" s="158">
        <v>0.41234567799999999</v>
      </c>
      <c r="L49" s="158">
        <f t="shared" si="3"/>
        <v>70.412345677999994</v>
      </c>
    </row>
    <row r="50" spans="1:17" s="127" customFormat="1" ht="124.5" customHeight="1" x14ac:dyDescent="0.25">
      <c r="A50" s="133" t="str">
        <f>7&amp;E50</f>
        <v>7a</v>
      </c>
      <c r="B50" s="178" t="s">
        <v>96</v>
      </c>
      <c r="C50" s="206" t="s">
        <v>97</v>
      </c>
      <c r="D50" s="175" t="s">
        <v>98</v>
      </c>
      <c r="E50" s="134" t="s">
        <v>34</v>
      </c>
      <c r="F50" s="135" t="s">
        <v>99</v>
      </c>
      <c r="G50" s="152" t="s">
        <v>39</v>
      </c>
      <c r="H50" s="121" t="s">
        <v>228</v>
      </c>
      <c r="I50" s="136" t="str">
        <f t="shared" si="2"/>
        <v>Mantenimiento del control</v>
      </c>
      <c r="J50" s="158">
        <f>+IF(G50="Si",120,IF(G50="En proceso",100,80))</f>
        <v>120</v>
      </c>
      <c r="K50" s="158">
        <v>0.85099999999999998</v>
      </c>
      <c r="L50" s="158">
        <f t="shared" si="3"/>
        <v>120.851</v>
      </c>
    </row>
    <row r="51" spans="1:17" s="127" customFormat="1" ht="117" customHeight="1" x14ac:dyDescent="0.25">
      <c r="A51" s="133" t="str">
        <f t="shared" ref="A51:A53" si="12">7&amp;E51</f>
        <v>7d</v>
      </c>
      <c r="B51" s="179"/>
      <c r="C51" s="207"/>
      <c r="D51" s="176"/>
      <c r="E51" s="137" t="s">
        <v>42</v>
      </c>
      <c r="F51" s="65" t="s">
        <v>100</v>
      </c>
      <c r="G51" s="138" t="s">
        <v>39</v>
      </c>
      <c r="H51" s="78" t="s">
        <v>230</v>
      </c>
      <c r="I51" s="77" t="str">
        <f t="shared" si="2"/>
        <v>Mantenimiento del control</v>
      </c>
      <c r="J51" s="158">
        <f t="shared" ref="J51:J59" si="13">+IF(G51="Si",120,IF(G51="En proceso",100,80))</f>
        <v>120</v>
      </c>
      <c r="K51" s="158">
        <v>0.85119999999999996</v>
      </c>
      <c r="L51" s="158">
        <f t="shared" si="3"/>
        <v>120.85120000000001</v>
      </c>
    </row>
    <row r="52" spans="1:17" s="127" customFormat="1" ht="129.75" customHeight="1" x14ac:dyDescent="0.25">
      <c r="A52" s="133" t="str">
        <f t="shared" si="12"/>
        <v>7f</v>
      </c>
      <c r="B52" s="179"/>
      <c r="C52" s="207"/>
      <c r="D52" s="176"/>
      <c r="E52" s="137" t="s">
        <v>46</v>
      </c>
      <c r="F52" s="65" t="s">
        <v>101</v>
      </c>
      <c r="G52" s="138" t="s">
        <v>39</v>
      </c>
      <c r="H52" s="78" t="s">
        <v>231</v>
      </c>
      <c r="I52" s="77" t="str">
        <f t="shared" si="2"/>
        <v>Mantenimiento del control</v>
      </c>
      <c r="J52" s="158">
        <f t="shared" si="13"/>
        <v>120</v>
      </c>
      <c r="K52" s="158">
        <v>0.85123000000000004</v>
      </c>
      <c r="L52" s="158">
        <f t="shared" si="3"/>
        <v>120.85123</v>
      </c>
    </row>
    <row r="53" spans="1:17" s="127" customFormat="1" ht="122.25" customHeight="1" thickBot="1" x14ac:dyDescent="0.3">
      <c r="A53" s="133" t="str">
        <f t="shared" si="12"/>
        <v>7g</v>
      </c>
      <c r="B53" s="180"/>
      <c r="C53" s="208"/>
      <c r="D53" s="177"/>
      <c r="E53" s="149" t="s">
        <v>48</v>
      </c>
      <c r="F53" s="150" t="s">
        <v>102</v>
      </c>
      <c r="G53" s="151" t="s">
        <v>39</v>
      </c>
      <c r="H53" s="124" t="s">
        <v>232</v>
      </c>
      <c r="I53" s="143" t="str">
        <f t="shared" si="2"/>
        <v>Mantenimiento del control</v>
      </c>
      <c r="J53" s="158">
        <f t="shared" si="13"/>
        <v>120</v>
      </c>
      <c r="K53" s="158">
        <v>0.85123400000000005</v>
      </c>
      <c r="L53" s="158">
        <f t="shared" si="3"/>
        <v>120.85123400000001</v>
      </c>
    </row>
    <row r="54" spans="1:17" s="127" customFormat="1" ht="122.25" customHeight="1" thickBot="1" x14ac:dyDescent="0.3">
      <c r="A54" s="133" t="str">
        <f>8&amp;E54</f>
        <v>8h</v>
      </c>
      <c r="B54" s="155" t="s">
        <v>103</v>
      </c>
      <c r="C54" s="156" t="s">
        <v>97</v>
      </c>
      <c r="D54" s="157" t="s">
        <v>104</v>
      </c>
      <c r="E54" s="134" t="s">
        <v>50</v>
      </c>
      <c r="F54" s="135" t="s">
        <v>105</v>
      </c>
      <c r="G54" s="152" t="s">
        <v>36</v>
      </c>
      <c r="H54" s="121" t="s">
        <v>192</v>
      </c>
      <c r="I54" s="136" t="str">
        <f t="shared" si="2"/>
        <v>Deficiencia de control</v>
      </c>
      <c r="J54" s="158">
        <f t="shared" si="13"/>
        <v>80</v>
      </c>
      <c r="K54" s="158">
        <v>0.85123450000000001</v>
      </c>
      <c r="L54" s="158">
        <f t="shared" si="3"/>
        <v>80.851234500000004</v>
      </c>
    </row>
    <row r="55" spans="1:17" s="127" customFormat="1" ht="123" customHeight="1" x14ac:dyDescent="0.25">
      <c r="A55" s="133" t="str">
        <f>9&amp;E55</f>
        <v>9a</v>
      </c>
      <c r="B55" s="178" t="s">
        <v>106</v>
      </c>
      <c r="C55" s="206" t="s">
        <v>97</v>
      </c>
      <c r="D55" s="175" t="s">
        <v>107</v>
      </c>
      <c r="E55" s="134" t="s">
        <v>34</v>
      </c>
      <c r="F55" s="135" t="s">
        <v>108</v>
      </c>
      <c r="G55" s="152" t="s">
        <v>39</v>
      </c>
      <c r="H55" s="121" t="s">
        <v>242</v>
      </c>
      <c r="I55" s="136" t="str">
        <f t="shared" si="2"/>
        <v>Mantenimiento del control</v>
      </c>
      <c r="J55" s="158">
        <f t="shared" si="13"/>
        <v>120</v>
      </c>
      <c r="K55" s="162">
        <v>0.85123455999999997</v>
      </c>
      <c r="L55" s="158">
        <f t="shared" si="3"/>
        <v>120.85123455999999</v>
      </c>
      <c r="M55" s="128"/>
      <c r="N55" s="128"/>
      <c r="O55" s="128"/>
      <c r="P55" s="128"/>
      <c r="Q55" s="128"/>
    </row>
    <row r="56" spans="1:17" s="127" customFormat="1" ht="131.25" customHeight="1" x14ac:dyDescent="0.25">
      <c r="A56" s="133" t="str">
        <f t="shared" ref="A56:A59" si="14">9&amp;E56</f>
        <v>9b</v>
      </c>
      <c r="B56" s="179"/>
      <c r="C56" s="207"/>
      <c r="D56" s="176"/>
      <c r="E56" s="137" t="s">
        <v>37</v>
      </c>
      <c r="F56" s="65" t="s">
        <v>109</v>
      </c>
      <c r="G56" s="138" t="s">
        <v>39</v>
      </c>
      <c r="H56" s="78" t="s">
        <v>243</v>
      </c>
      <c r="I56" s="77" t="str">
        <f t="shared" si="2"/>
        <v>Mantenimiento del control</v>
      </c>
      <c r="J56" s="158">
        <f t="shared" si="13"/>
        <v>120</v>
      </c>
      <c r="K56" s="162">
        <v>0.851234567</v>
      </c>
      <c r="L56" s="158">
        <f t="shared" si="3"/>
        <v>120.85123456700001</v>
      </c>
      <c r="M56" s="128"/>
      <c r="N56" s="128"/>
      <c r="O56" s="128"/>
      <c r="P56" s="128"/>
      <c r="Q56" s="128"/>
    </row>
    <row r="57" spans="1:17" s="127" customFormat="1" ht="144" customHeight="1" x14ac:dyDescent="0.25">
      <c r="A57" s="133" t="str">
        <f t="shared" si="14"/>
        <v>9c</v>
      </c>
      <c r="B57" s="179"/>
      <c r="C57" s="207"/>
      <c r="D57" s="176"/>
      <c r="E57" s="137" t="s">
        <v>40</v>
      </c>
      <c r="F57" s="65" t="s">
        <v>110</v>
      </c>
      <c r="G57" s="138" t="s">
        <v>39</v>
      </c>
      <c r="H57" s="78" t="s">
        <v>244</v>
      </c>
      <c r="I57" s="77" t="str">
        <f t="shared" si="2"/>
        <v>Mantenimiento del control</v>
      </c>
      <c r="J57" s="158">
        <f t="shared" si="13"/>
        <v>120</v>
      </c>
      <c r="K57" s="162">
        <v>0.85123456779999995</v>
      </c>
      <c r="L57" s="158">
        <f t="shared" si="3"/>
        <v>120.85123456780001</v>
      </c>
      <c r="M57" s="128"/>
      <c r="N57" s="128"/>
      <c r="O57" s="128"/>
      <c r="P57" s="128"/>
      <c r="Q57" s="128"/>
    </row>
    <row r="58" spans="1:17" s="127" customFormat="1" ht="33.75" customHeight="1" x14ac:dyDescent="0.25">
      <c r="A58" s="133" t="str">
        <f t="shared" si="14"/>
        <v>9d</v>
      </c>
      <c r="B58" s="179"/>
      <c r="C58" s="207"/>
      <c r="D58" s="176"/>
      <c r="E58" s="137" t="s">
        <v>42</v>
      </c>
      <c r="F58" s="65" t="s">
        <v>111</v>
      </c>
      <c r="G58" s="332" t="s">
        <v>76</v>
      </c>
      <c r="H58" s="331" t="s">
        <v>193</v>
      </c>
      <c r="I58" s="77" t="str">
        <f t="shared" si="2"/>
        <v>Oportunidad de mejora</v>
      </c>
      <c r="J58" s="158">
        <f t="shared" si="13"/>
        <v>100</v>
      </c>
      <c r="K58" s="162">
        <v>0.85123456788999996</v>
      </c>
      <c r="L58" s="158">
        <f t="shared" si="3"/>
        <v>100.85123456789</v>
      </c>
      <c r="M58" s="128"/>
      <c r="N58" s="128"/>
      <c r="O58" s="128"/>
      <c r="P58" s="128"/>
      <c r="Q58" s="128"/>
    </row>
    <row r="59" spans="1:17" s="127" customFormat="1" ht="89.25" customHeight="1" thickBot="1" x14ac:dyDescent="0.3">
      <c r="A59" s="133" t="str">
        <f t="shared" si="14"/>
        <v>9e</v>
      </c>
      <c r="B59" s="180"/>
      <c r="C59" s="207"/>
      <c r="D59" s="193"/>
      <c r="E59" s="149" t="s">
        <v>44</v>
      </c>
      <c r="F59" s="150" t="s">
        <v>112</v>
      </c>
      <c r="G59" s="151" t="s">
        <v>39</v>
      </c>
      <c r="H59" s="124" t="s">
        <v>195</v>
      </c>
      <c r="I59" s="143" t="str">
        <f t="shared" si="2"/>
        <v>Mantenimiento del control</v>
      </c>
      <c r="J59" s="158">
        <f t="shared" si="13"/>
        <v>120</v>
      </c>
      <c r="K59" s="162">
        <v>0.85123456789100005</v>
      </c>
      <c r="L59" s="158">
        <f t="shared" si="3"/>
        <v>120.851234567891</v>
      </c>
      <c r="M59" s="128"/>
      <c r="N59" s="128"/>
      <c r="O59" s="128"/>
      <c r="P59" s="128"/>
      <c r="Q59" s="128"/>
    </row>
  </sheetData>
  <sheetProtection algorithmName="SHA-512" hashValue="3f8q67IhQ+195mCCu45JxrnKZ5NQYpYn/4DMJ1qNlLoW+1h5DdlwjNz0RDsqicEeH5OxPhf5j92R5BAeBl6Iaw==" saltValue="5vY6GrPfNxnRatmVvJafnA==" spinCount="100000" sheet="1" objects="1" scenarios="1" formatCells="0" formatColumns="0" formatRows="0"/>
  <mergeCells count="25">
    <mergeCell ref="D55:D59"/>
    <mergeCell ref="B55:B59"/>
    <mergeCell ref="C16:C27"/>
    <mergeCell ref="C28:C31"/>
    <mergeCell ref="C38:C42"/>
    <mergeCell ref="C43:C49"/>
    <mergeCell ref="C50:C53"/>
    <mergeCell ref="C32:C34"/>
    <mergeCell ref="C35:C37"/>
    <mergeCell ref="C55:C59"/>
    <mergeCell ref="D32:D34"/>
    <mergeCell ref="B32:B34"/>
    <mergeCell ref="B35:B37"/>
    <mergeCell ref="D35:D37"/>
    <mergeCell ref="B38:B42"/>
    <mergeCell ref="D38:D42"/>
    <mergeCell ref="B14:I14"/>
    <mergeCell ref="D43:D49"/>
    <mergeCell ref="B43:B49"/>
    <mergeCell ref="D50:D53"/>
    <mergeCell ref="B50:B53"/>
    <mergeCell ref="D16:D27"/>
    <mergeCell ref="B16:B27"/>
    <mergeCell ref="B28:B31"/>
    <mergeCell ref="D28:D31"/>
  </mergeCells>
  <dataValidations count="2">
    <dataValidation type="list" allowBlank="1" showInputMessage="1" showErrorMessage="1" sqref="G55:G59 G16:G53" xr:uid="{00000000-0002-0000-0100-000000000000}">
      <formula1>"Si, No, En proceso"</formula1>
    </dataValidation>
    <dataValidation type="list" allowBlank="1" showInputMessage="1" showErrorMessage="1" sqref="G54" xr:uid="{00000000-0002-0000-0100-000001000000}">
      <formula1>"Si, No"</formula1>
    </dataValidation>
  </dataValidations>
  <printOptions horizontalCentered="1"/>
  <pageMargins left="0.70866141732283472" right="0.70866141732283472" top="0.74803149606299213" bottom="0.74803149606299213" header="0.31496062992125984" footer="0.31496062992125984"/>
  <pageSetup scale="5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74"/>
  <sheetViews>
    <sheetView topLeftCell="A49" zoomScale="82" zoomScaleNormal="82" workbookViewId="0">
      <selection activeCell="D18" sqref="D18"/>
    </sheetView>
  </sheetViews>
  <sheetFormatPr baseColWidth="10" defaultColWidth="11.42578125" defaultRowHeight="15" x14ac:dyDescent="0.25"/>
  <cols>
    <col min="3" max="3" width="22.85546875" customWidth="1"/>
    <col min="4" max="4" width="22.5703125" customWidth="1"/>
    <col min="5" max="5" width="53.42578125" customWidth="1"/>
    <col min="7" max="7" width="28.28515625" customWidth="1"/>
    <col min="8" max="8" width="4.85546875" customWidth="1"/>
    <col min="9" max="9" width="15.28515625" customWidth="1"/>
    <col min="10" max="10" width="22.42578125" customWidth="1"/>
    <col min="11" max="29" width="11.42578125" style="1"/>
  </cols>
  <sheetData>
    <row r="1" spans="1:11" x14ac:dyDescent="0.25">
      <c r="A1" s="1"/>
      <c r="B1" s="1"/>
      <c r="C1" s="1"/>
      <c r="D1" s="1"/>
      <c r="E1" s="1"/>
      <c r="F1" s="1"/>
      <c r="G1" s="1"/>
      <c r="H1" s="1"/>
      <c r="I1" s="1"/>
      <c r="J1" s="1"/>
    </row>
    <row r="2" spans="1:11" s="1" customFormat="1" x14ac:dyDescent="0.25"/>
    <row r="3" spans="1:11" s="1" customFormat="1" x14ac:dyDescent="0.25"/>
    <row r="4" spans="1:11" x14ac:dyDescent="0.25">
      <c r="A4" s="1"/>
      <c r="B4" s="1"/>
      <c r="C4" s="1"/>
      <c r="D4" s="1"/>
      <c r="E4" s="1"/>
      <c r="F4" s="1"/>
      <c r="G4" s="1"/>
      <c r="H4" s="1"/>
      <c r="I4" s="1"/>
      <c r="J4" s="1"/>
    </row>
    <row r="5" spans="1:11" x14ac:dyDescent="0.25">
      <c r="A5" s="1"/>
      <c r="B5" s="1"/>
      <c r="C5" s="1"/>
      <c r="D5" s="1"/>
      <c r="E5" s="1"/>
      <c r="F5" s="1"/>
      <c r="G5" s="1"/>
      <c r="H5" s="1"/>
      <c r="I5" s="1"/>
      <c r="J5" s="1"/>
    </row>
    <row r="6" spans="1:11" ht="15.75" thickBot="1" x14ac:dyDescent="0.3">
      <c r="A6" s="1"/>
      <c r="B6" s="1"/>
      <c r="C6" s="1"/>
      <c r="D6" s="1"/>
      <c r="E6" s="1"/>
      <c r="F6" s="1"/>
      <c r="G6" s="1"/>
      <c r="H6" s="1"/>
      <c r="I6" s="1"/>
      <c r="J6" s="1"/>
    </row>
    <row r="7" spans="1:11" ht="26.25" thickBot="1" x14ac:dyDescent="0.3">
      <c r="A7" s="1"/>
      <c r="B7" s="1"/>
      <c r="C7" s="267" t="s">
        <v>113</v>
      </c>
      <c r="D7" s="268"/>
      <c r="E7" s="268"/>
      <c r="F7" s="268"/>
      <c r="G7" s="268"/>
      <c r="H7" s="268"/>
      <c r="I7" s="268"/>
      <c r="J7" s="268"/>
      <c r="K7" s="269"/>
    </row>
    <row r="8" spans="1:11" s="1" customFormat="1" ht="15.75" thickBot="1" x14ac:dyDescent="0.3">
      <c r="C8" s="36"/>
      <c r="D8" s="36"/>
      <c r="E8" s="37"/>
      <c r="F8" s="37"/>
      <c r="G8" s="37"/>
      <c r="H8" s="37"/>
      <c r="I8" s="45"/>
      <c r="J8" s="37"/>
      <c r="K8" s="37"/>
    </row>
    <row r="9" spans="1:11" ht="21" thickBot="1" x14ac:dyDescent="0.3">
      <c r="A9" s="1"/>
      <c r="B9" s="1"/>
      <c r="C9" s="226" t="s">
        <v>15</v>
      </c>
      <c r="D9" s="227"/>
      <c r="E9" s="227" t="s">
        <v>16</v>
      </c>
      <c r="F9" s="238"/>
      <c r="G9" s="37"/>
      <c r="H9" s="37"/>
      <c r="I9" s="45"/>
      <c r="J9" s="37"/>
      <c r="K9" s="37"/>
    </row>
    <row r="10" spans="1:11" ht="54" customHeight="1" x14ac:dyDescent="0.25">
      <c r="A10" s="1"/>
      <c r="B10" s="1"/>
      <c r="C10" s="239" t="s">
        <v>17</v>
      </c>
      <c r="D10" s="240"/>
      <c r="E10" s="241" t="s">
        <v>18</v>
      </c>
      <c r="F10" s="242"/>
      <c r="G10" s="38"/>
      <c r="H10" s="39">
        <v>1</v>
      </c>
      <c r="I10" s="45"/>
      <c r="J10" s="37"/>
      <c r="K10" s="37"/>
    </row>
    <row r="11" spans="1:11" ht="46.5" customHeight="1" x14ac:dyDescent="0.25">
      <c r="A11" s="1"/>
      <c r="B11" s="1"/>
      <c r="C11" s="228" t="s">
        <v>19</v>
      </c>
      <c r="D11" s="229"/>
      <c r="E11" s="230" t="s">
        <v>114</v>
      </c>
      <c r="F11" s="231"/>
      <c r="G11" s="40" t="s">
        <v>115</v>
      </c>
      <c r="H11" s="39">
        <v>0.75</v>
      </c>
      <c r="I11" s="45"/>
      <c r="J11" s="37"/>
      <c r="K11" s="37"/>
    </row>
    <row r="12" spans="1:11" ht="70.5" customHeight="1" thickBot="1" x14ac:dyDescent="0.3">
      <c r="A12" s="1"/>
      <c r="B12" s="1"/>
      <c r="C12" s="232" t="s">
        <v>21</v>
      </c>
      <c r="D12" s="233"/>
      <c r="E12" s="234" t="s">
        <v>116</v>
      </c>
      <c r="F12" s="235"/>
      <c r="G12" s="41"/>
      <c r="H12" s="39">
        <v>0.25</v>
      </c>
      <c r="I12" s="45"/>
      <c r="J12" s="37"/>
      <c r="K12" s="37"/>
    </row>
    <row r="13" spans="1:11" s="1" customFormat="1" x14ac:dyDescent="0.25"/>
    <row r="14" spans="1:11" s="1" customFormat="1" x14ac:dyDescent="0.25"/>
    <row r="15" spans="1:11" s="1" customFormat="1" x14ac:dyDescent="0.25"/>
    <row r="16" spans="1:11" s="1" customFormat="1" ht="15.75" thickBot="1" x14ac:dyDescent="0.3"/>
    <row r="17" spans="1:10" x14ac:dyDescent="0.25">
      <c r="A17" s="1"/>
      <c r="B17" s="1"/>
      <c r="C17" s="275" t="s">
        <v>117</v>
      </c>
      <c r="D17" s="277" t="s">
        <v>118</v>
      </c>
      <c r="E17" s="278"/>
      <c r="F17" s="279" t="s">
        <v>119</v>
      </c>
      <c r="G17" s="281" t="s">
        <v>120</v>
      </c>
      <c r="H17" s="35"/>
      <c r="I17" s="270" t="s">
        <v>121</v>
      </c>
      <c r="J17" s="270" t="s">
        <v>122</v>
      </c>
    </row>
    <row r="18" spans="1:10" ht="36" customHeight="1" thickBot="1" x14ac:dyDescent="0.3">
      <c r="A18" s="1"/>
      <c r="B18" s="1"/>
      <c r="C18" s="276"/>
      <c r="D18" s="79" t="s">
        <v>123</v>
      </c>
      <c r="E18" s="80" t="s">
        <v>27</v>
      </c>
      <c r="F18" s="280"/>
      <c r="G18" s="282"/>
      <c r="H18" s="35"/>
      <c r="I18" s="271"/>
      <c r="J18" s="271"/>
    </row>
    <row r="19" spans="1:10" ht="65.25" customHeight="1" x14ac:dyDescent="0.25">
      <c r="A19" s="1"/>
      <c r="B19" s="1"/>
      <c r="C19" s="98">
        <v>1</v>
      </c>
      <c r="D19" s="272" t="s">
        <v>32</v>
      </c>
      <c r="E19" s="81" t="str">
        <f>+IFERROR(INDEX(Hoja1!$E$2:$E$45,MATCH('Análisis Resultados'!C19,Hoja1!$H$2:$H$45,0)),"")</f>
        <v>Una estructura organizacional formalizada (organigrama)</v>
      </c>
      <c r="F19" s="82" t="str">
        <f>+IFERROR(VLOOKUP(C19,Hoja1!$H$2:$I$45,2,0),"")</f>
        <v>En proceso</v>
      </c>
      <c r="G19" s="83" t="str">
        <f>+IF(F19="Si","Existe requerimiento pero se requiere actividades  dirigidas a su mantenimiento dentro del marco de las lineas de defensa.",IF(F19="En proceso","Se encuentra en proceso, pero requiere continuar con acciones dirigidas a contar con dicho aspecto de control.","No se encuentra el aspecto  por lo tanto la entidad debera generar acciones dirigidas a que se cumpla con el requerimiento."))</f>
        <v>Se encuentra en proceso, pero requiere continuar con acciones dirigidas a contar con dicho aspecto de control.</v>
      </c>
      <c r="I19" s="99">
        <f>+IF(F19="Si",1,IF(F19="En proceso",0.5,0))</f>
        <v>0.5</v>
      </c>
      <c r="J19" s="285">
        <f>+AVERAGE(I19:I30)</f>
        <v>0.95833333333333337</v>
      </c>
    </row>
    <row r="20" spans="1:10" ht="45" x14ac:dyDescent="0.25">
      <c r="A20" s="1"/>
      <c r="B20" s="1"/>
      <c r="C20" s="98">
        <v>2</v>
      </c>
      <c r="D20" s="273"/>
      <c r="E20" s="84" t="str">
        <f>+IFERROR(INDEX(Hoja1!$E$2:$E$45,MATCH('Análisis Resultados'!C20,Hoja1!$H$2:$H$45,0)),"")</f>
        <v>Documento interno o adopción del MECI actualizado</v>
      </c>
      <c r="F20" s="85" t="str">
        <f>+IFERROR(VLOOKUP(C20,Hoja1!$H$2:$I$45,2,0),"")</f>
        <v>Si</v>
      </c>
      <c r="G20" s="86" t="str">
        <f t="shared" ref="G20:G62" si="0">+IF(F20="Si","Existe requerimiento pero se requiere actividades  dirigidas a su mantenimiento dentro del marco de las lineas de defensa.",IF(F20="En proceso","Se encuentra en proceso, pero requiere continuar con acciones dirigidas a contar con dicho aspecto de control.","No se encuentra el aspecto  por lo tanto la entidad debera generar acciones dirigidas a que se cumpla con el requerimiento."))</f>
        <v>Existe requerimiento pero se requiere actividades  dirigidas a su mantenimiento dentro del marco de las lineas de defensa.</v>
      </c>
      <c r="I20" s="100">
        <f t="shared" ref="I20:I62" si="1">+IF(F20="Si",1,IF(F20="En proceso",0.5,0))</f>
        <v>1</v>
      </c>
      <c r="J20" s="286"/>
    </row>
    <row r="21" spans="1:10" ht="57" x14ac:dyDescent="0.25">
      <c r="A21" s="1"/>
      <c r="B21" s="1"/>
      <c r="C21" s="98">
        <v>3</v>
      </c>
      <c r="D21" s="273"/>
      <c r="E21" s="84" t="str">
        <f>+IFERROR(INDEX(Hoja1!$E$2:$E$45,MATCH('Análisis Resultados'!C21,Hoja1!$H$2:$H$45,0)),"")</f>
        <v>Un documento tal como un código de ética, integridad u otro que formalice los estándares de conducta, los principios institucionales o los valores del servicio público</v>
      </c>
      <c r="F21" s="85" t="str">
        <f>+IFERROR(VLOOKUP(C21,Hoja1!$H$2:$I$45,2,0),"")</f>
        <v>Si</v>
      </c>
      <c r="G21" s="86" t="str">
        <f t="shared" si="0"/>
        <v>Existe requerimiento pero se requiere actividades  dirigidas a su mantenimiento dentro del marco de las lineas de defensa.</v>
      </c>
      <c r="I21" s="100">
        <f t="shared" si="1"/>
        <v>1</v>
      </c>
      <c r="J21" s="286"/>
    </row>
    <row r="22" spans="1:10" ht="56.25" customHeight="1" x14ac:dyDescent="0.25">
      <c r="A22" s="1"/>
      <c r="B22" s="1"/>
      <c r="C22" s="98">
        <v>4</v>
      </c>
      <c r="D22" s="273"/>
      <c r="E22" s="84" t="str">
        <f>+IFERROR(INDEX(Hoja1!$E$2:$E$45,MATCH('Análisis Resultados'!C22,Hoja1!$H$2:$H$45,0)),"")</f>
        <v>Planes, programas y proyectos de acuerdo con las normas que rigen y atendiendo con su propósito fundamental institucional (misión)</v>
      </c>
      <c r="F22" s="85" t="str">
        <f>+IFERROR(VLOOKUP(C22,Hoja1!$H$2:$I$45,2,0),"")</f>
        <v>Si</v>
      </c>
      <c r="G22" s="86" t="str">
        <f t="shared" si="0"/>
        <v>Existe requerimiento pero se requiere actividades  dirigidas a su mantenimiento dentro del marco de las lineas de defensa.</v>
      </c>
      <c r="I22" s="100">
        <f t="shared" si="1"/>
        <v>1</v>
      </c>
      <c r="J22" s="286"/>
    </row>
    <row r="23" spans="1:10" ht="45" x14ac:dyDescent="0.25">
      <c r="A23" s="1"/>
      <c r="B23" s="1"/>
      <c r="C23" s="98">
        <v>5</v>
      </c>
      <c r="D23" s="273"/>
      <c r="E23" s="84" t="str">
        <f>+IFERROR(INDEX(Hoja1!$E$2:$E$45,MATCH('Análisis Resultados'!C23,Hoja1!$H$2:$H$45,0)),"")</f>
        <v>Un manual de funciones que describa los empleos de la entidad</v>
      </c>
      <c r="F23" s="85" t="str">
        <f>+IFERROR(VLOOKUP(C23,Hoja1!$H$2:$I$45,2,0),"")</f>
        <v>Si</v>
      </c>
      <c r="G23" s="86" t="str">
        <f t="shared" si="0"/>
        <v>Existe requerimiento pero se requiere actividades  dirigidas a su mantenimiento dentro del marco de las lineas de defensa.</v>
      </c>
      <c r="I23" s="100">
        <f t="shared" si="1"/>
        <v>1</v>
      </c>
      <c r="J23" s="286"/>
    </row>
    <row r="24" spans="1:10" ht="45" x14ac:dyDescent="0.25">
      <c r="A24" s="1"/>
      <c r="B24" s="1"/>
      <c r="C24" s="98">
        <v>6</v>
      </c>
      <c r="D24" s="273"/>
      <c r="E24" s="84" t="str">
        <f>+IFERROR(INDEX(Hoja1!$E$2:$E$45,MATCH('Análisis Resultados'!C24,Hoja1!$H$2:$H$45,0)),"")</f>
        <v>La documentación de sus procesos y procedimientos o bien una lista de actividades principales que permitan conocer el estado de su gestión</v>
      </c>
      <c r="F24" s="85" t="str">
        <f>+IFERROR(VLOOKUP(C24,Hoja1!$H$2:$I$45,2,0),"")</f>
        <v>Si</v>
      </c>
      <c r="G24" s="86" t="str">
        <f t="shared" si="0"/>
        <v>Existe requerimiento pero se requiere actividades  dirigidas a su mantenimiento dentro del marco de las lineas de defensa.</v>
      </c>
      <c r="I24" s="100">
        <f t="shared" si="1"/>
        <v>1</v>
      </c>
      <c r="J24" s="286"/>
    </row>
    <row r="25" spans="1:10" ht="45" x14ac:dyDescent="0.25">
      <c r="A25" s="1"/>
      <c r="B25" s="1"/>
      <c r="C25" s="98">
        <v>7</v>
      </c>
      <c r="D25" s="273"/>
      <c r="E25" s="84" t="str">
        <f>+IFERROR(INDEX(Hoja1!$E$2:$E$45,MATCH('Análisis Resultados'!C25,Hoja1!$H$2:$H$45,0)),"")</f>
        <v>Vinculación de los servidores públicos de acuerdo con el marco normativo que les rige (carrera administrativa, libre nombramiento y remoción, entre otros)</v>
      </c>
      <c r="F25" s="85" t="str">
        <f>+IFERROR(VLOOKUP(C25,Hoja1!$H$2:$I$45,2,0),"")</f>
        <v>Si</v>
      </c>
      <c r="G25" s="86" t="str">
        <f t="shared" si="0"/>
        <v>Existe requerimiento pero se requiere actividades  dirigidas a su mantenimiento dentro del marco de las lineas de defensa.</v>
      </c>
      <c r="I25" s="100">
        <f t="shared" si="1"/>
        <v>1</v>
      </c>
      <c r="J25" s="286"/>
    </row>
    <row r="26" spans="1:10" ht="45" x14ac:dyDescent="0.25">
      <c r="A26" s="1"/>
      <c r="B26" s="1"/>
      <c r="C26" s="98">
        <v>8</v>
      </c>
      <c r="D26" s="273"/>
      <c r="E26" s="84" t="str">
        <f>+IFERROR(INDEX(Hoja1!$E$2:$E$45,MATCH('Análisis Resultados'!C26,Hoja1!$H$2:$H$45,0)),"")</f>
        <v>Procesos de inducción, capacitación y bienestar social para sus servidores públicos, de manera directa o en asociación con otras entidades municipales</v>
      </c>
      <c r="F26" s="85" t="str">
        <f>+IFERROR(VLOOKUP(C26,Hoja1!$H$2:$I$45,2,0),"")</f>
        <v>Si</v>
      </c>
      <c r="G26" s="86" t="str">
        <f t="shared" si="0"/>
        <v>Existe requerimiento pero se requiere actividades  dirigidas a su mantenimiento dentro del marco de las lineas de defensa.</v>
      </c>
      <c r="I26" s="100">
        <f t="shared" si="1"/>
        <v>1</v>
      </c>
      <c r="J26" s="286"/>
    </row>
    <row r="27" spans="1:10" ht="45" x14ac:dyDescent="0.25">
      <c r="A27" s="1"/>
      <c r="B27" s="1"/>
      <c r="C27" s="98">
        <v>9</v>
      </c>
      <c r="D27" s="273"/>
      <c r="E27" s="84" t="str">
        <f>+IFERROR(INDEX(Hoja1!$E$2:$E$45,MATCH('Análisis Resultados'!C27,Hoja1!$H$2:$H$45,0)),"")</f>
        <v>Evaluación a los servidores públicos de acuerdo con el marco normativo que le rige</v>
      </c>
      <c r="F27" s="85" t="str">
        <f>+IFERROR(VLOOKUP(C27,Hoja1!$H$2:$I$45,2,0),"")</f>
        <v>Si</v>
      </c>
      <c r="G27" s="86" t="str">
        <f t="shared" si="0"/>
        <v>Existe requerimiento pero se requiere actividades  dirigidas a su mantenimiento dentro del marco de las lineas de defensa.</v>
      </c>
      <c r="I27" s="100">
        <f t="shared" si="1"/>
        <v>1</v>
      </c>
      <c r="J27" s="286"/>
    </row>
    <row r="28" spans="1:10" ht="45" x14ac:dyDescent="0.25">
      <c r="A28" s="1"/>
      <c r="B28" s="1"/>
      <c r="C28" s="98">
        <v>10</v>
      </c>
      <c r="D28" s="273"/>
      <c r="E28" s="84" t="str">
        <f>+IFERROR(INDEX(Hoja1!$E$2:$E$45,MATCH('Análisis Resultados'!C28,Hoja1!$H$2:$H$45,0)),"")</f>
        <v>Procesos de desvinculación de servidores de acuerdo con lo previsto en la Constitución Política y las leyes</v>
      </c>
      <c r="F28" s="85" t="str">
        <f>+IFERROR(VLOOKUP(C28,Hoja1!$H$2:$I$45,2,0),"")</f>
        <v>Si</v>
      </c>
      <c r="G28" s="86" t="str">
        <f t="shared" si="0"/>
        <v>Existe requerimiento pero se requiere actividades  dirigidas a su mantenimiento dentro del marco de las lineas de defensa.</v>
      </c>
      <c r="I28" s="100">
        <f t="shared" si="1"/>
        <v>1</v>
      </c>
      <c r="J28" s="286"/>
    </row>
    <row r="29" spans="1:10" ht="45" x14ac:dyDescent="0.25">
      <c r="A29" s="1"/>
      <c r="B29" s="1"/>
      <c r="C29" s="98">
        <v>11</v>
      </c>
      <c r="D29" s="273"/>
      <c r="E29" s="84" t="str">
        <f>+IFERROR(INDEX(Hoja1!$E$2:$E$45,MATCH('Análisis Resultados'!C29,Hoja1!$H$2:$H$45,0)),"")</f>
        <v>Mecanismos de rendición de cuentas a la ciudadanía</v>
      </c>
      <c r="F29" s="85" t="str">
        <f>+IFERROR(VLOOKUP(C29,Hoja1!$H$2:$I$45,2,0),"")</f>
        <v>Si</v>
      </c>
      <c r="G29" s="86" t="str">
        <f>+IF(F29="Si","Existe requerimiento pero se requiere actividades  dirigidas a su mantenimiento dentro del marco de las lineas de defensa.",IF(F29="En proceso","Se encuentra en proceso, pero requiere continuar con acciones dirigidas a contar con dicho aspecto de control.","No se encuentra el aspecto  por lo tanto la entidad debera generar acciones dirigidas a que se cumpla con el requerimiento."))</f>
        <v>Existe requerimiento pero se requiere actividades  dirigidas a su mantenimiento dentro del marco de las lineas de defensa.</v>
      </c>
      <c r="I29" s="100">
        <f t="shared" si="1"/>
        <v>1</v>
      </c>
      <c r="J29" s="286"/>
    </row>
    <row r="30" spans="1:10" ht="45.75" thickBot="1" x14ac:dyDescent="0.3">
      <c r="A30" s="1"/>
      <c r="B30" s="1"/>
      <c r="C30" s="98">
        <v>12</v>
      </c>
      <c r="D30" s="274"/>
      <c r="E30" s="87" t="str">
        <f>+IFERROR(INDEX(Hoja1!$E$2:$E$45,MATCH('Análisis Resultados'!C30,Hoja1!$H$2:$H$45,0)),"")</f>
        <v>Presentación oportuna de sus informes de gestión a las autoridades competentes</v>
      </c>
      <c r="F30" s="88" t="str">
        <f>+IFERROR(VLOOKUP(C30,Hoja1!$H$2:$I$45,2,0),"")</f>
        <v>Si</v>
      </c>
      <c r="G30" s="89" t="str">
        <f t="shared" si="0"/>
        <v>Existe requerimiento pero se requiere actividades  dirigidas a su mantenimiento dentro del marco de las lineas de defensa.</v>
      </c>
      <c r="I30" s="101">
        <f t="shared" si="1"/>
        <v>1</v>
      </c>
      <c r="J30" s="287"/>
    </row>
    <row r="31" spans="1:10" ht="45" customHeight="1" x14ac:dyDescent="0.25">
      <c r="A31" s="1"/>
      <c r="B31" s="1"/>
      <c r="C31" s="98">
        <v>13</v>
      </c>
      <c r="D31" s="299" t="s">
        <v>61</v>
      </c>
      <c r="E31" s="81" t="str">
        <f>+IFERROR(INDEX(Hoja1!$E$2:$E$45,MATCH('Análisis Resultados'!C31,Hoja1!$H$2:$H$45,0)),"")</f>
        <v>Cada líder del equipo autónomamente toma las acciones para solucionarlos.</v>
      </c>
      <c r="F31" s="82" t="str">
        <f>+IFERROR(VLOOKUP(C31,Hoja1!$H$2:$I$45,2,0),"")</f>
        <v>En proceso</v>
      </c>
      <c r="G31" s="83" t="str">
        <f t="shared" si="0"/>
        <v>Se encuentra en proceso, pero requiere continuar con acciones dirigidas a contar con dicho aspecto de control.</v>
      </c>
      <c r="I31" s="99">
        <f t="shared" si="1"/>
        <v>0.5</v>
      </c>
      <c r="J31" s="283">
        <f>+AVERAGE(I31:I40)</f>
        <v>0.9</v>
      </c>
    </row>
    <row r="32" spans="1:10" ht="57" customHeight="1" x14ac:dyDescent="0.25">
      <c r="A32" s="1"/>
      <c r="B32" s="1"/>
      <c r="C32" s="98">
        <v>14</v>
      </c>
      <c r="D32" s="300"/>
      <c r="E32" s="84" t="str">
        <f>+IFERROR(INDEX(Hoja1!$E$2:$E$45,MATCH('Análisis Resultados'!C32,Hoja1!$H$2:$H$45,0)),"")</f>
        <v>Solamente hasta que un organismo de control actúa se definen acciones de mejora.</v>
      </c>
      <c r="F32" s="85" t="str">
        <f>+IFERROR(VLOOKUP(C32,Hoja1!$H$2:$I$45,2,0),"")</f>
        <v>En proceso</v>
      </c>
      <c r="G32" s="86" t="str">
        <f t="shared" si="0"/>
        <v>Se encuentra en proceso, pero requiere continuar con acciones dirigidas a contar con dicho aspecto de control.</v>
      </c>
      <c r="I32" s="100">
        <f t="shared" si="1"/>
        <v>0.5</v>
      </c>
      <c r="J32" s="284"/>
    </row>
    <row r="33" spans="1:10" ht="54" customHeight="1" x14ac:dyDescent="0.25">
      <c r="A33" s="1"/>
      <c r="B33" s="1"/>
      <c r="C33" s="98">
        <v>15</v>
      </c>
      <c r="D33" s="300"/>
      <c r="E33" s="84" t="str">
        <f>+IFERROR(INDEX(Hoja1!$E$2:$E$45,MATCH('Análisis Resultados'!C33,Hoja1!$H$2:$H$45,0)),"")</f>
        <v>La identificación de cambios en su entorno que pueden generar consecuencias negativas en su gestión</v>
      </c>
      <c r="F33" s="85" t="str">
        <f>+IFERROR(VLOOKUP(C33,Hoja1!$H$2:$I$45,2,0),"")</f>
        <v>Si</v>
      </c>
      <c r="G33" s="86" t="str">
        <f t="shared" si="0"/>
        <v>Existe requerimiento pero se requiere actividades  dirigidas a su mantenimiento dentro del marco de las lineas de defensa.</v>
      </c>
      <c r="I33" s="100">
        <f t="shared" si="1"/>
        <v>1</v>
      </c>
      <c r="J33" s="284"/>
    </row>
    <row r="34" spans="1:10" ht="45" x14ac:dyDescent="0.25">
      <c r="A34" s="1"/>
      <c r="B34" s="1"/>
      <c r="C34" s="98">
        <v>16</v>
      </c>
      <c r="D34" s="300"/>
      <c r="E34" s="84" t="str">
        <f>+IFERROR(INDEX(Hoja1!$E$2:$E$45,MATCH('Análisis Resultados'!C34,Hoja1!$H$2:$H$45,0)),"")</f>
        <v>La identificación de aquellos problemas o aspectos que pueden afectar el cumplimiento de los planes de la entidad y en general su gestión institucional (riesgos)</v>
      </c>
      <c r="F34" s="85" t="str">
        <f>+IFERROR(VLOOKUP(C34,Hoja1!$H$2:$I$45,2,0),"")</f>
        <v>Si</v>
      </c>
      <c r="G34" s="86" t="str">
        <f t="shared" si="0"/>
        <v>Existe requerimiento pero se requiere actividades  dirigidas a su mantenimiento dentro del marco de las lineas de defensa.</v>
      </c>
      <c r="I34" s="100">
        <f t="shared" si="1"/>
        <v>1</v>
      </c>
      <c r="J34" s="284"/>
    </row>
    <row r="35" spans="1:10" ht="67.5" customHeight="1" x14ac:dyDescent="0.25">
      <c r="A35" s="1"/>
      <c r="B35" s="1"/>
      <c r="C35" s="98">
        <v>17</v>
      </c>
      <c r="D35" s="300"/>
      <c r="E35" s="84" t="str">
        <f>+IFERROR(INDEX(Hoja1!$E$2:$E$45,MATCH('Análisis Resultados'!C35,Hoja1!$H$2:$H$45,0)),"")</f>
        <v>La identificación  de los riesgos relacionados con posibles actos de corrupción en el ejercicio de sus funciones</v>
      </c>
      <c r="F35" s="85" t="str">
        <f>+IFERROR(VLOOKUP(C35,Hoja1!$H$2:$I$45,2,0),"")</f>
        <v>Si</v>
      </c>
      <c r="G35" s="86" t="str">
        <f t="shared" si="0"/>
        <v>Existe requerimiento pero se requiere actividades  dirigidas a su mantenimiento dentro del marco de las lineas de defensa.</v>
      </c>
      <c r="I35" s="100">
        <f t="shared" si="1"/>
        <v>1</v>
      </c>
      <c r="J35" s="284"/>
    </row>
    <row r="36" spans="1:10" ht="45" x14ac:dyDescent="0.25">
      <c r="A36" s="1"/>
      <c r="B36" s="1"/>
      <c r="C36" s="98">
        <v>18</v>
      </c>
      <c r="D36" s="300"/>
      <c r="E36" s="84" t="str">
        <f>+IFERROR(INDEX(Hoja1!$E$2:$E$45,MATCH('Análisis Resultados'!C36,Hoja1!$H$2:$H$45,0)),"")</f>
        <v>Si su capacidad e infraestructura lo permite, identificación de riesgos asociados a las tecnologías de la información y las comunicaciones</v>
      </c>
      <c r="F36" s="85" t="str">
        <f>+IFERROR(VLOOKUP(C36,Hoja1!$H$2:$I$45,2,0),"")</f>
        <v>Si</v>
      </c>
      <c r="G36" s="86" t="str">
        <f t="shared" si="0"/>
        <v>Existe requerimiento pero se requiere actividades  dirigidas a su mantenimiento dentro del marco de las lineas de defensa.</v>
      </c>
      <c r="I36" s="100">
        <f t="shared" si="1"/>
        <v>1</v>
      </c>
      <c r="J36" s="284"/>
    </row>
    <row r="37" spans="1:10" ht="57" customHeight="1" x14ac:dyDescent="0.25">
      <c r="A37" s="1"/>
      <c r="B37" s="1"/>
      <c r="C37" s="98">
        <v>19</v>
      </c>
      <c r="D37" s="300"/>
      <c r="E37" s="84" t="str">
        <f>+IFERROR(INDEX(Hoja1!$E$2:$E$45,MATCH('Análisis Resultados'!C37,Hoja1!$H$2:$H$45,0)),"")</f>
        <v>Hacen seguimiento a los problemas (riesgos)  que pueden afectar el cumplimiento de sus procesos, programas o proyectos a cargo</v>
      </c>
      <c r="F37" s="85" t="str">
        <f>+IFERROR(VLOOKUP(C37,Hoja1!$H$2:$I$45,2,0),"")</f>
        <v>Si</v>
      </c>
      <c r="G37" s="86" t="str">
        <f t="shared" si="0"/>
        <v>Existe requerimiento pero se requiere actividades  dirigidas a su mantenimiento dentro del marco de las lineas de defensa.</v>
      </c>
      <c r="I37" s="100">
        <f t="shared" si="1"/>
        <v>1</v>
      </c>
      <c r="J37" s="284"/>
    </row>
    <row r="38" spans="1:10" ht="45" x14ac:dyDescent="0.25">
      <c r="A38" s="1"/>
      <c r="B38" s="1"/>
      <c r="C38" s="98">
        <v>20</v>
      </c>
      <c r="D38" s="300"/>
      <c r="E38" s="84" t="str">
        <f>+IFERROR(INDEX(Hoja1!$E$2:$E$45,MATCH('Análisis Resultados'!C38,Hoja1!$H$2:$H$45,0)),"")</f>
        <v>Informan de manera periódica a quien corresponda sobre el desempeño de las actividades de gestión de riesgos</v>
      </c>
      <c r="F38" s="85" t="str">
        <f>+IFERROR(VLOOKUP(C38,Hoja1!$H$2:$I$45,2,0),"")</f>
        <v>Si</v>
      </c>
      <c r="G38" s="86" t="str">
        <f t="shared" si="0"/>
        <v>Existe requerimiento pero se requiere actividades  dirigidas a su mantenimiento dentro del marco de las lineas de defensa.</v>
      </c>
      <c r="I38" s="100">
        <f t="shared" si="1"/>
        <v>1</v>
      </c>
      <c r="J38" s="284"/>
    </row>
    <row r="39" spans="1:10" ht="45" x14ac:dyDescent="0.25">
      <c r="A39" s="1"/>
      <c r="B39" s="1"/>
      <c r="C39" s="98">
        <v>21</v>
      </c>
      <c r="D39" s="300"/>
      <c r="E39" s="84" t="str">
        <f>+IFERROR(INDEX(Hoja1!$E$2:$E$45,MATCH('Análisis Resultados'!C39,Hoja1!$H$2:$H$45,0)),"")</f>
        <v>Identifican deficiencias en las maneras de  controlar los riesgos o problemas en sus procesos, programas o proyectos, y propone los ajustes necesarios</v>
      </c>
      <c r="F39" s="85" t="str">
        <f>+IFERROR(VLOOKUP(C39,Hoja1!$H$2:$I$45,2,0),"")</f>
        <v>Si</v>
      </c>
      <c r="G39" s="86" t="str">
        <f t="shared" si="0"/>
        <v>Existe requerimiento pero se requiere actividades  dirigidas a su mantenimiento dentro del marco de las lineas de defensa.</v>
      </c>
      <c r="I39" s="100">
        <f t="shared" si="1"/>
        <v>1</v>
      </c>
      <c r="J39" s="284"/>
    </row>
    <row r="40" spans="1:10" ht="45.75" thickBot="1" x14ac:dyDescent="0.3">
      <c r="A40" s="1"/>
      <c r="B40" s="1"/>
      <c r="C40" s="98">
        <v>22</v>
      </c>
      <c r="D40" s="300"/>
      <c r="E40" s="90" t="str">
        <f>+IFERROR(INDEX(Hoja1!$E$2:$E$45,MATCH('Análisis Resultados'!C40,Hoja1!$H$2:$H$45,0)),"")</f>
        <v>Se definen espacios de reunión para conocerlos y proponer acciones para su solución</v>
      </c>
      <c r="F40" s="91" t="str">
        <f>+IFERROR(VLOOKUP(C40,Hoja1!$H$2:$I$45,2,0),"")</f>
        <v>Si</v>
      </c>
      <c r="G40" s="92" t="str">
        <f t="shared" si="0"/>
        <v>Existe requerimiento pero se requiere actividades  dirigidas a su mantenimiento dentro del marco de las lineas de defensa.</v>
      </c>
      <c r="I40" s="102">
        <f t="shared" si="1"/>
        <v>1</v>
      </c>
      <c r="J40" s="284"/>
    </row>
    <row r="41" spans="1:10" ht="87.75" customHeight="1" x14ac:dyDescent="0.25">
      <c r="A41" s="1"/>
      <c r="B41" s="1"/>
      <c r="C41" s="98">
        <v>23</v>
      </c>
      <c r="D41" s="295" t="s">
        <v>79</v>
      </c>
      <c r="E41" s="81" t="str">
        <f>+IFERROR(INDEX(Hoja1!$E$2:$E$45,MATCH('Análisis Resultados'!C41,Hoja1!$H$2:$H$45,0)),"")</f>
        <v>Mecanismos de verificación de si se están o no mitigando los riesgos, o en su defecto, elaboración de planes de contingencia para subsanar sus consecuencias</v>
      </c>
      <c r="F41" s="82" t="str">
        <f>+IFERROR(VLOOKUP(C41,Hoja1!$H$2:$I$45,2,0),"")</f>
        <v>En proceso</v>
      </c>
      <c r="G41" s="83" t="str">
        <f t="shared" si="0"/>
        <v>Se encuentra en proceso, pero requiere continuar con acciones dirigidas a contar con dicho aspecto de control.</v>
      </c>
      <c r="I41" s="99">
        <f t="shared" si="1"/>
        <v>0.5</v>
      </c>
      <c r="J41" s="283">
        <f>+AVERAGE(I41:I45)</f>
        <v>0.9</v>
      </c>
    </row>
    <row r="42" spans="1:10" ht="57" x14ac:dyDescent="0.25">
      <c r="A42" s="1"/>
      <c r="B42" s="1"/>
      <c r="C42" s="98">
        <v>24</v>
      </c>
      <c r="D42" s="296"/>
      <c r="E42" s="84" t="str">
        <f>+IFERROR(INDEX(Hoja1!$E$2:$E$45,MATCH('Análisis Resultados'!C42,Hoja1!$H$2:$H$45,0)),"")</f>
        <v>La definición de acciones o actividades para para dar tratamiento a los problemas identificados (mitigación de riesgos), incluyendo aquellos asociados a posibles actos de corrupción</v>
      </c>
      <c r="F42" s="85" t="str">
        <f>+IFERROR(VLOOKUP(C42,Hoja1!$H$2:$I$45,2,0),"")</f>
        <v>Si</v>
      </c>
      <c r="G42" s="86" t="str">
        <f t="shared" si="0"/>
        <v>Existe requerimiento pero se requiere actividades  dirigidas a su mantenimiento dentro del marco de las lineas de defensa.</v>
      </c>
      <c r="I42" s="100">
        <f t="shared" si="1"/>
        <v>1</v>
      </c>
      <c r="J42" s="284"/>
    </row>
    <row r="43" spans="1:10" ht="85.5" customHeight="1" x14ac:dyDescent="0.25">
      <c r="A43" s="1"/>
      <c r="B43" s="1"/>
      <c r="C43" s="98">
        <v>25</v>
      </c>
      <c r="D43" s="296"/>
      <c r="E43" s="84" t="str">
        <f>+IFERROR(INDEX(Hoja1!$E$2:$E$45,MATCH('Análisis Resultados'!C43,Hoja1!$H$2:$H$45,0)),"")</f>
        <v>Planes, acciones o estrategias que permitan subsanar las consecuencias de la materialización de los riesgos, cuando se presentan</v>
      </c>
      <c r="F43" s="85" t="str">
        <f>+IFERROR(VLOOKUP(C43,Hoja1!$H$2:$I$45,2,0),"")</f>
        <v>Si</v>
      </c>
      <c r="G43" s="86" t="str">
        <f t="shared" si="0"/>
        <v>Existe requerimiento pero se requiere actividades  dirigidas a su mantenimiento dentro del marco de las lineas de defensa.</v>
      </c>
      <c r="I43" s="100">
        <f t="shared" si="1"/>
        <v>1</v>
      </c>
      <c r="J43" s="284"/>
    </row>
    <row r="44" spans="1:10" ht="57" customHeight="1" x14ac:dyDescent="0.25">
      <c r="A44" s="1"/>
      <c r="B44" s="1"/>
      <c r="C44" s="98">
        <v>26</v>
      </c>
      <c r="D44" s="296"/>
      <c r="E44" s="84" t="str">
        <f>+IFERROR(INDEX(Hoja1!$E$2:$E$45,MATCH('Análisis Resultados'!C44,Hoja1!$H$2:$H$45,0)),"")</f>
        <v>Un documento que consolide  los riesgos  y el tratamiento que se les da, incluyendo aquellos que conllevan posibles actos de corrupción y si la capacidad e infraestructura lo permite, los asociados con las tecnologías de la información y las comunicaciones</v>
      </c>
      <c r="F44" s="85" t="str">
        <f>+IFERROR(VLOOKUP(C44,Hoja1!$H$2:$I$45,2,0),"")</f>
        <v>Si</v>
      </c>
      <c r="G44" s="86" t="str">
        <f t="shared" si="0"/>
        <v>Existe requerimiento pero se requiere actividades  dirigidas a su mantenimiento dentro del marco de las lineas de defensa.</v>
      </c>
      <c r="I44" s="100">
        <f t="shared" si="1"/>
        <v>1</v>
      </c>
      <c r="J44" s="284"/>
    </row>
    <row r="45" spans="1:10" ht="57" customHeight="1" thickBot="1" x14ac:dyDescent="0.3">
      <c r="A45" s="1"/>
      <c r="B45" s="1"/>
      <c r="C45" s="98">
        <v>27</v>
      </c>
      <c r="D45" s="297"/>
      <c r="E45" s="87" t="str">
        <f>+IFERROR(INDEX(Hoja1!$E$2:$E$45,MATCH('Análisis Resultados'!C45,Hoja1!$H$2:$H$45,0)),"")</f>
        <v>Un plan anticorrupción y de servicio al ciudadano con los temas que le aplican, publicado en algún medio para conocimiento de la ciudadanía</v>
      </c>
      <c r="F45" s="88" t="str">
        <f>+IFERROR(VLOOKUP(C45,Hoja1!$H$2:$I$45,2,0),"")</f>
        <v>Si</v>
      </c>
      <c r="G45" s="89" t="str">
        <f t="shared" si="0"/>
        <v>Existe requerimiento pero se requiere actividades  dirigidas a su mantenimiento dentro del marco de las lineas de defensa.</v>
      </c>
      <c r="I45" s="101">
        <f t="shared" si="1"/>
        <v>1</v>
      </c>
      <c r="J45" s="298"/>
    </row>
    <row r="46" spans="1:10" ht="63.75" customHeight="1" x14ac:dyDescent="0.25">
      <c r="A46" s="1"/>
      <c r="B46" s="1"/>
      <c r="C46" s="98">
        <v>28</v>
      </c>
      <c r="D46" s="294" t="s">
        <v>87</v>
      </c>
      <c r="E46" s="93" t="str">
        <f>+IFERROR(INDEX(Hoja1!$E$2:$E$45,MATCH('Análisis Resultados'!C46,Hoja1!$H$2:$H$45,0)),"")</f>
        <v>Si su capacidad e infraestructura lo permite, tecnologías de la información y las comunicaciones que soporten estos procesos</v>
      </c>
      <c r="F46" s="94" t="str">
        <f>+IFERROR(VLOOKUP(C46,Hoja1!$H$2:$I$45,2,0),"")</f>
        <v>En proceso</v>
      </c>
      <c r="G46" s="95" t="str">
        <f t="shared" si="0"/>
        <v>Se encuentra en proceso, pero requiere continuar con acciones dirigidas a contar con dicho aspecto de control.</v>
      </c>
      <c r="I46" s="103">
        <f t="shared" si="1"/>
        <v>0.5</v>
      </c>
      <c r="J46" s="284">
        <f>+AVERAGE(I46:I52)</f>
        <v>0.9285714285714286</v>
      </c>
    </row>
    <row r="47" spans="1:10" ht="92.25" customHeight="1" x14ac:dyDescent="0.25">
      <c r="A47" s="1"/>
      <c r="B47" s="1"/>
      <c r="C47" s="98">
        <v>29</v>
      </c>
      <c r="D47" s="294"/>
      <c r="E47" s="84" t="str">
        <f>+IFERROR(INDEX(Hoja1!$E$2:$E$45,MATCH('Análisis Resultados'!C47,Hoja1!$H$2:$H$45,0)),"")</f>
        <v>Responsables de la información institucional</v>
      </c>
      <c r="F47" s="85" t="str">
        <f>+IFERROR(VLOOKUP(C47,Hoja1!$H$2:$I$45,2,0),"")</f>
        <v>Si</v>
      </c>
      <c r="G47" s="96" t="str">
        <f t="shared" si="0"/>
        <v>Existe requerimiento pero se requiere actividades  dirigidas a su mantenimiento dentro del marco de las lineas de defensa.</v>
      </c>
      <c r="I47" s="104">
        <f t="shared" si="1"/>
        <v>1</v>
      </c>
      <c r="J47" s="284"/>
    </row>
    <row r="48" spans="1:10" ht="66.75" customHeight="1" x14ac:dyDescent="0.25">
      <c r="A48" s="1"/>
      <c r="B48" s="1"/>
      <c r="C48" s="98">
        <v>30</v>
      </c>
      <c r="D48" s="294"/>
      <c r="E48" s="84" t="str">
        <f>+IFERROR(INDEX(Hoja1!$E$2:$E$45,MATCH('Análisis Resultados'!C48,Hoja1!$H$2:$H$45,0)),"")</f>
        <v>Canales de comunicación con los ciudadanos</v>
      </c>
      <c r="F48" s="85" t="str">
        <f>+IFERROR(VLOOKUP(C48,Hoja1!$H$2:$I$45,2,0),"")</f>
        <v>Si</v>
      </c>
      <c r="G48" s="96" t="str">
        <f t="shared" si="0"/>
        <v>Existe requerimiento pero se requiere actividades  dirigidas a su mantenimiento dentro del marco de las lineas de defensa.</v>
      </c>
      <c r="I48" s="104">
        <f t="shared" si="1"/>
        <v>1</v>
      </c>
      <c r="J48" s="284"/>
    </row>
    <row r="49" spans="1:10" ht="60" customHeight="1" x14ac:dyDescent="0.25">
      <c r="A49" s="1"/>
      <c r="B49" s="1"/>
      <c r="C49" s="98">
        <v>31</v>
      </c>
      <c r="D49" s="294"/>
      <c r="E49" s="84" t="str">
        <f>+IFERROR(INDEX(Hoja1!$E$2:$E$45,MATCH('Análisis Resultados'!C49,Hoja1!$H$2:$H$45,0)),"")</f>
        <v>Canales de comunicación o mecanismos de reporte de información a otros organismos gubernamentales o de control</v>
      </c>
      <c r="F49" s="85" t="str">
        <f>+IFERROR(VLOOKUP(C49,Hoja1!$H$2:$I$45,2,0),"")</f>
        <v>Si</v>
      </c>
      <c r="G49" s="96" t="str">
        <f t="shared" si="0"/>
        <v>Existe requerimiento pero se requiere actividades  dirigidas a su mantenimiento dentro del marco de las lineas de defensa.</v>
      </c>
      <c r="I49" s="104">
        <f t="shared" si="1"/>
        <v>1</v>
      </c>
      <c r="J49" s="284"/>
    </row>
    <row r="50" spans="1:10" ht="57" customHeight="1" x14ac:dyDescent="0.25">
      <c r="A50" s="1"/>
      <c r="B50" s="1"/>
      <c r="C50" s="98">
        <v>32</v>
      </c>
      <c r="D50" s="294"/>
      <c r="E50" s="84" t="str">
        <f>+IFERROR(INDEX(Hoja1!$E$2:$E$45,MATCH('Análisis Resultados'!C50,Hoja1!$H$2:$H$45,0)),"")</f>
        <v xml:space="preserve">Lineamientos para dar tratamiento a la información de carácter reservado </v>
      </c>
      <c r="F50" s="85" t="str">
        <f>+IFERROR(VLOOKUP(C50,Hoja1!$H$2:$I$45,2,0),"")</f>
        <v>Si</v>
      </c>
      <c r="G50" s="96" t="str">
        <f t="shared" si="0"/>
        <v>Existe requerimiento pero se requiere actividades  dirigidas a su mantenimiento dentro del marco de las lineas de defensa.</v>
      </c>
      <c r="I50" s="104">
        <f t="shared" si="1"/>
        <v>1</v>
      </c>
      <c r="J50" s="284"/>
    </row>
    <row r="51" spans="1:10" ht="57" customHeight="1" x14ac:dyDescent="0.25">
      <c r="A51" s="1"/>
      <c r="B51" s="1"/>
      <c r="C51" s="98">
        <v>33</v>
      </c>
      <c r="D51" s="294"/>
      <c r="E51" s="84" t="str">
        <f>+IFERROR(INDEX(Hoja1!$E$2:$E$45,MATCH('Análisis Resultados'!C51,Hoja1!$H$2:$H$45,0)),"")</f>
        <v>Identificación de información que produce en el marco de su gestión (Para los ciudadanos, organismos de control, organismos gubernamentales, entre otros)</v>
      </c>
      <c r="F51" s="85" t="str">
        <f>+IFERROR(VLOOKUP(C51,Hoja1!$H$2:$I$45,2,0),"")</f>
        <v>Si</v>
      </c>
      <c r="G51" s="96" t="str">
        <f t="shared" si="0"/>
        <v>Existe requerimiento pero se requiere actividades  dirigidas a su mantenimiento dentro del marco de las lineas de defensa.</v>
      </c>
      <c r="I51" s="104">
        <f t="shared" si="1"/>
        <v>1</v>
      </c>
      <c r="J51" s="284"/>
    </row>
    <row r="52" spans="1:10" ht="45.75" thickBot="1" x14ac:dyDescent="0.3">
      <c r="A52" s="1"/>
      <c r="B52" s="1"/>
      <c r="C52" s="98">
        <v>34</v>
      </c>
      <c r="D52" s="294"/>
      <c r="E52" s="90" t="str">
        <f>+IFERROR(INDEX(Hoja1!$E$2:$E$45,MATCH('Análisis Resultados'!C52,Hoja1!$H$2:$H$45,0)),"")</f>
        <v>Identificación de información necesaria para la operación de la entidad (normograma, presupuesto, talento humano, infraestructura física y tecnológica)</v>
      </c>
      <c r="F52" s="91" t="str">
        <f>+IFERROR(VLOOKUP(C52,Hoja1!$H$2:$I$45,2,0),"")</f>
        <v>Si</v>
      </c>
      <c r="G52" s="97" t="str">
        <f t="shared" si="0"/>
        <v>Existe requerimiento pero se requiere actividades  dirigidas a su mantenimiento dentro del marco de las lineas de defensa.</v>
      </c>
      <c r="I52" s="105">
        <f t="shared" si="1"/>
        <v>1</v>
      </c>
      <c r="J52" s="284"/>
    </row>
    <row r="53" spans="1:10" ht="41.25" customHeight="1" x14ac:dyDescent="0.25">
      <c r="A53" s="1"/>
      <c r="B53" s="1"/>
      <c r="C53" s="98">
        <v>35</v>
      </c>
      <c r="D53" s="288" t="s">
        <v>97</v>
      </c>
      <c r="E53" s="81" t="str">
        <f>+IFERROR(INDEX(Hoja1!$E$2:$E$45,MATCH('Análisis Resultados'!C53,Hoja1!$H$2:$H$45,0)),"")</f>
        <v>La entidad participa en el  Comité Municipal de Auditoría?</v>
      </c>
      <c r="F53" s="82" t="str">
        <f>+IFERROR(VLOOKUP(C53,Hoja1!$H$2:$I$45,2,0),"")</f>
        <v>No</v>
      </c>
      <c r="G53" s="83" t="str">
        <f t="shared" si="0"/>
        <v>No se encuentra el aspecto  por lo tanto la entidad debera generar acciones dirigidas a que se cumpla con el requerimiento.</v>
      </c>
      <c r="I53" s="99">
        <f t="shared" si="1"/>
        <v>0</v>
      </c>
      <c r="J53" s="291">
        <f>+AVERAGE(I53:I62)</f>
        <v>0.85</v>
      </c>
    </row>
    <row r="54" spans="1:10" ht="58.5" customHeight="1" x14ac:dyDescent="0.25">
      <c r="A54" s="1"/>
      <c r="B54" s="1"/>
      <c r="C54" s="98">
        <v>36</v>
      </c>
      <c r="D54" s="289"/>
      <c r="E54" s="84" t="str">
        <f>+IFERROR(INDEX(Hoja1!$E$2:$E$45,MATCH('Análisis Resultados'!C54,Hoja1!$H$2:$H$45,0)),"")</f>
        <v>Ejecutar las acciones de acuerdo a como se diseñaron previamente.</v>
      </c>
      <c r="F54" s="85" t="str">
        <f>+IFERROR(VLOOKUP(C54,Hoja1!$H$2:$I$45,2,0),"")</f>
        <v>En proceso</v>
      </c>
      <c r="G54" s="86" t="str">
        <f t="shared" si="0"/>
        <v>Se encuentra en proceso, pero requiere continuar con acciones dirigidas a contar con dicho aspecto de control.</v>
      </c>
      <c r="I54" s="100">
        <f t="shared" si="1"/>
        <v>0.5</v>
      </c>
      <c r="J54" s="292"/>
    </row>
    <row r="55" spans="1:10" s="1" customFormat="1" ht="84.75" customHeight="1" x14ac:dyDescent="0.25">
      <c r="C55" s="98">
        <v>37</v>
      </c>
      <c r="D55" s="289"/>
      <c r="E55" s="84" t="str">
        <f>+IFERROR(INDEX(Hoja1!$E$2:$E$45,MATCH('Análisis Resultados'!C55,Hoja1!$H$2:$H$45,0)),"")</f>
        <v>Mecanismos de evaluación de la gestión (cronogramas, indicadores, listas de chequeo u otros)</v>
      </c>
      <c r="F55" s="85" t="str">
        <f>+IFERROR(VLOOKUP(C55,Hoja1!$H$2:$I$45,2,0),"")</f>
        <v>Si</v>
      </c>
      <c r="G55" s="86" t="str">
        <f t="shared" si="0"/>
        <v>Existe requerimiento pero se requiere actividades  dirigidas a su mantenimiento dentro del marco de las lineas de defensa.</v>
      </c>
      <c r="I55" s="100">
        <f t="shared" si="1"/>
        <v>1</v>
      </c>
      <c r="J55" s="292"/>
    </row>
    <row r="56" spans="1:10" s="1" customFormat="1" ht="78.75" customHeight="1" x14ac:dyDescent="0.25">
      <c r="C56" s="98">
        <v>38</v>
      </c>
      <c r="D56" s="289"/>
      <c r="E56" s="84" t="str">
        <f>+IFERROR(INDEX(Hoja1!$E$2:$E$45,MATCH('Análisis Resultados'!C56,Hoja1!$H$2:$H$45,0)),"")</f>
        <v>Algún mecanismo para monitorear o supervisar el sistema de control interno institucional, ya sea por parte del representante legal, o del área de control interno (si la entidad cuenta con ella), o bien a través del Comité departamental o municipal de Auditoría.</v>
      </c>
      <c r="F56" s="85" t="str">
        <f>+IFERROR(VLOOKUP(C56,Hoja1!$H$2:$I$45,2,0),"")</f>
        <v>Si</v>
      </c>
      <c r="G56" s="86" t="str">
        <f t="shared" si="0"/>
        <v>Existe requerimiento pero se requiere actividades  dirigidas a su mantenimiento dentro del marco de las lineas de defensa.</v>
      </c>
      <c r="I56" s="100">
        <f t="shared" si="1"/>
        <v>1</v>
      </c>
      <c r="J56" s="292"/>
    </row>
    <row r="57" spans="1:10" s="1" customFormat="1" ht="54.75" customHeight="1" x14ac:dyDescent="0.25">
      <c r="C57" s="98">
        <v>39</v>
      </c>
      <c r="D57" s="289"/>
      <c r="E57" s="84" t="str">
        <f>+IFERROR(INDEX(Hoja1!$E$2:$E$45,MATCH('Análisis Resultados'!C57,Hoja1!$H$2:$H$45,0)),"")</f>
        <v>Medidas correctivas en caso de detectarse deficiencias en los ejercicios de evaluación, seguimiento o auditoría</v>
      </c>
      <c r="F57" s="85" t="str">
        <f>+IFERROR(VLOOKUP(C57,Hoja1!$H$2:$I$45,2,0),"")</f>
        <v>Si</v>
      </c>
      <c r="G57" s="86" t="str">
        <f t="shared" si="0"/>
        <v>Existe requerimiento pero se requiere actividades  dirigidas a su mantenimiento dentro del marco de las lineas de defensa.</v>
      </c>
      <c r="I57" s="100">
        <f t="shared" si="1"/>
        <v>1</v>
      </c>
      <c r="J57" s="292"/>
    </row>
    <row r="58" spans="1:10" s="1" customFormat="1" ht="68.25" customHeight="1" x14ac:dyDescent="0.25">
      <c r="C58" s="98">
        <v>40</v>
      </c>
      <c r="D58" s="289"/>
      <c r="E58" s="84" t="str">
        <f>+IFERROR(INDEX(Hoja1!$E$2:$E$45,MATCH('Análisis Resultados'!C58,Hoja1!$H$2:$H$45,0)),"")</f>
        <v>Seguimiento a los planes de mejoramiento suscritos con instancias de control internas o externas</v>
      </c>
      <c r="F58" s="85" t="str">
        <f>+IFERROR(VLOOKUP(C58,Hoja1!$H$2:$I$45,2,0),"")</f>
        <v>Si</v>
      </c>
      <c r="G58" s="86" t="str">
        <f t="shared" si="0"/>
        <v>Existe requerimiento pero se requiere actividades  dirigidas a su mantenimiento dentro del marco de las lineas de defensa.</v>
      </c>
      <c r="I58" s="100">
        <f t="shared" si="1"/>
        <v>1</v>
      </c>
      <c r="J58" s="292"/>
    </row>
    <row r="59" spans="1:10" s="1" customFormat="1" ht="45" customHeight="1" x14ac:dyDescent="0.25">
      <c r="C59" s="98">
        <v>41</v>
      </c>
      <c r="D59" s="289"/>
      <c r="E59" s="84" t="str">
        <f>+IFERROR(INDEX(Hoja1!$E$2:$E$45,MATCH('Análisis Resultados'!C59,Hoja1!$H$2:$H$45,0)),"")</f>
        <v>Evitar que los problemas (riesgos) obstaculicen el cumplimiento de los objetivos.</v>
      </c>
      <c r="F59" s="85" t="str">
        <f>+IFERROR(VLOOKUP(C59,Hoja1!$H$2:$I$45,2,0),"")</f>
        <v>Si</v>
      </c>
      <c r="G59" s="86" t="str">
        <f t="shared" si="0"/>
        <v>Existe requerimiento pero se requiere actividades  dirigidas a su mantenimiento dentro del marco de las lineas de defensa.</v>
      </c>
      <c r="I59" s="100">
        <f t="shared" si="1"/>
        <v>1</v>
      </c>
      <c r="J59" s="292"/>
    </row>
    <row r="60" spans="1:10" s="1" customFormat="1" ht="51.75" customHeight="1" x14ac:dyDescent="0.25">
      <c r="C60" s="98">
        <v>42</v>
      </c>
      <c r="D60" s="289"/>
      <c r="E60" s="84" t="str">
        <f>+IFERROR(INDEX(Hoja1!$E$2:$E$45,MATCH('Análisis Resultados'!C60,Hoja1!$H$2:$H$45,0)),"")</f>
        <v>Controlar los puntos críticos en los procesos.</v>
      </c>
      <c r="F60" s="85" t="str">
        <f>+IFERROR(VLOOKUP(C60,Hoja1!$H$2:$I$45,2,0),"")</f>
        <v>Si</v>
      </c>
      <c r="G60" s="86" t="str">
        <f t="shared" si="0"/>
        <v>Existe requerimiento pero se requiere actividades  dirigidas a su mantenimiento dentro del marco de las lineas de defensa.</v>
      </c>
      <c r="I60" s="100">
        <f t="shared" si="1"/>
        <v>1</v>
      </c>
      <c r="J60" s="292"/>
    </row>
    <row r="61" spans="1:10" s="1" customFormat="1" ht="84" customHeight="1" x14ac:dyDescent="0.25">
      <c r="C61" s="98">
        <v>43</v>
      </c>
      <c r="D61" s="289"/>
      <c r="E61" s="84" t="str">
        <f>+IFERROR(INDEX(Hoja1!$E$2:$E$45,MATCH('Análisis Resultados'!C61,Hoja1!$H$2:$H$45,0)),"")</f>
        <v>Diseñar acciones adecuadas para controlar los problemas que afectan el cumplimiento de las metas y objetivos institucionales (riesgos).</v>
      </c>
      <c r="F61" s="85" t="str">
        <f>+IFERROR(VLOOKUP(C61,Hoja1!$H$2:$I$45,2,0),"")</f>
        <v>Si</v>
      </c>
      <c r="G61" s="86" t="str">
        <f t="shared" si="0"/>
        <v>Existe requerimiento pero se requiere actividades  dirigidas a su mantenimiento dentro del marco de las lineas de defensa.</v>
      </c>
      <c r="I61" s="100">
        <f t="shared" si="1"/>
        <v>1</v>
      </c>
      <c r="J61" s="292"/>
    </row>
    <row r="62" spans="1:10" s="1" customFormat="1" ht="60" customHeight="1" thickBot="1" x14ac:dyDescent="0.3">
      <c r="C62" s="98">
        <v>44</v>
      </c>
      <c r="D62" s="290"/>
      <c r="E62" s="87" t="str">
        <f>+IFERROR(INDEX(Hoja1!$E$2:$E$45,MATCH('Análisis Resultados'!C62,Hoja1!$H$2:$H$45,0)),"")</f>
        <v>No se gestionan los problemas que afectan el cumplimiento de las funciones y objetivos institucionales(riesgos).</v>
      </c>
      <c r="F62" s="88" t="str">
        <f>+IFERROR(VLOOKUP(C62,Hoja1!$H$2:$I$45,2,0),"")</f>
        <v>Si</v>
      </c>
      <c r="G62" s="89" t="str">
        <f t="shared" si="0"/>
        <v>Existe requerimiento pero se requiere actividades  dirigidas a su mantenimiento dentro del marco de las lineas de defensa.</v>
      </c>
      <c r="I62" s="101">
        <f t="shared" si="1"/>
        <v>1</v>
      </c>
      <c r="J62" s="293"/>
    </row>
    <row r="63" spans="1:10" s="1" customFormat="1" x14ac:dyDescent="0.25"/>
    <row r="64" spans="1:10" s="1" customFormat="1" x14ac:dyDescent="0.25"/>
    <row r="65" spans="1:2" s="1" customFormat="1" x14ac:dyDescent="0.25"/>
    <row r="66" spans="1:2" s="1" customFormat="1" x14ac:dyDescent="0.25"/>
    <row r="67" spans="1:2" s="1" customFormat="1" x14ac:dyDescent="0.25"/>
    <row r="68" spans="1:2" s="1" customFormat="1" x14ac:dyDescent="0.25"/>
    <row r="69" spans="1:2" s="1" customFormat="1" x14ac:dyDescent="0.25"/>
    <row r="70" spans="1:2" s="1" customFormat="1" x14ac:dyDescent="0.25"/>
    <row r="71" spans="1:2" x14ac:dyDescent="0.25">
      <c r="A71" s="1"/>
      <c r="B71" s="1"/>
    </row>
    <row r="72" spans="1:2" x14ac:dyDescent="0.25">
      <c r="A72" s="1"/>
      <c r="B72" s="1"/>
    </row>
    <row r="73" spans="1:2" x14ac:dyDescent="0.25">
      <c r="A73" s="1"/>
      <c r="B73" s="1"/>
    </row>
    <row r="74" spans="1:2" x14ac:dyDescent="0.25">
      <c r="A74" s="1"/>
      <c r="B74" s="1"/>
    </row>
  </sheetData>
  <sheetProtection algorithmName="SHA-512" hashValue="2c/K7BVeA+JOjsvnu2HILGfEHHcx80UTyQTucJ5c70tus45UaD3gXdqjB7xLC6LydtmfT9VN5B07LstuhHP+UQ==" saltValue="5+Ylqwr6SZ9tvbSyY2m3gQ==" spinCount="100000" sheet="1" objects="1" scenarios="1" formatCells="0"/>
  <mergeCells count="25">
    <mergeCell ref="J31:J40"/>
    <mergeCell ref="C12:D12"/>
    <mergeCell ref="E12:F12"/>
    <mergeCell ref="J19:J30"/>
    <mergeCell ref="D53:D62"/>
    <mergeCell ref="J53:J62"/>
    <mergeCell ref="D46:D52"/>
    <mergeCell ref="J46:J52"/>
    <mergeCell ref="D41:D45"/>
    <mergeCell ref="J41:J45"/>
    <mergeCell ref="D31:D40"/>
    <mergeCell ref="C11:D11"/>
    <mergeCell ref="E11:F11"/>
    <mergeCell ref="J17:J18"/>
    <mergeCell ref="D19:D30"/>
    <mergeCell ref="C17:C18"/>
    <mergeCell ref="D17:E17"/>
    <mergeCell ref="F17:F18"/>
    <mergeCell ref="G17:G18"/>
    <mergeCell ref="I17:I18"/>
    <mergeCell ref="C7:K7"/>
    <mergeCell ref="C9:D9"/>
    <mergeCell ref="E9:F9"/>
    <mergeCell ref="C10:D10"/>
    <mergeCell ref="E10:F10"/>
  </mergeCells>
  <conditionalFormatting sqref="I19:I62">
    <cfRule type="cellIs" dxfId="16" priority="4" operator="between">
      <formula>0.75</formula>
      <formula>1</formula>
    </cfRule>
    <cfRule type="cellIs" dxfId="15" priority="5" operator="between">
      <formula>0.5</formula>
      <formula>0.74</formula>
    </cfRule>
    <cfRule type="cellIs" dxfId="14" priority="6" operator="between">
      <formula>0</formula>
      <formula>0.49</formula>
    </cfRule>
  </conditionalFormatting>
  <conditionalFormatting sqref="J19:J31 J41 J46 J53">
    <cfRule type="cellIs" priority="1" operator="between">
      <formula>0.75</formula>
      <formula>1</formula>
    </cfRule>
    <cfRule type="cellIs" dxfId="13" priority="2" operator="between">
      <formula>0.5</formula>
      <formula>0.75</formula>
    </cfRule>
    <cfRule type="cellIs" dxfId="12" priority="3" operator="between">
      <formula>0</formula>
      <formula>0.49</formula>
    </cfRule>
  </conditionalFormatting>
  <printOptions horizontalCentered="1"/>
  <pageMargins left="0.31496062992125984" right="0.31496062992125984" top="0.74803149606299213" bottom="0.74803149606299213" header="0.31496062992125984" footer="0.31496062992125984"/>
  <pageSetup scale="60" orientation="landscape" r:id="rId1"/>
  <extLst>
    <ext xmlns:x14="http://schemas.microsoft.com/office/spreadsheetml/2009/9/main" uri="{78C0D931-6437-407d-A8EE-F0AAD7539E65}">
      <x14:conditionalFormattings>
        <x14:conditionalFormatting xmlns:xm="http://schemas.microsoft.com/office/excel/2006/main">
          <x14:cfRule type="containsText" priority="7" operator="containsText" id="{B5EC0094-D2B5-49BB-B6F9-E988382E1263}">
            <xm:f>NOT(ISERROR(SEARCH($E$12,G19)))</xm:f>
            <xm:f>$E$12</xm:f>
            <x14:dxf>
              <fill>
                <patternFill>
                  <bgColor rgb="FFFF0000"/>
                </patternFill>
              </fill>
            </x14:dxf>
          </x14:cfRule>
          <x14:cfRule type="containsText" priority="8" operator="containsText" id="{D802A135-824D-43A0-835B-FE63514274DE}">
            <xm:f>NOT(ISERROR(SEARCH($E$11,G19)))</xm:f>
            <xm:f>$E$11</xm:f>
            <x14:dxf>
              <fill>
                <patternFill>
                  <bgColor rgb="FFFFFF00"/>
                </patternFill>
              </fill>
            </x14:dxf>
          </x14:cfRule>
          <x14:cfRule type="containsText" priority="9" operator="containsText" id="{D7844022-1CB2-4683-9B09-8D3EA8F0FDED}">
            <xm:f>NOT(ISERROR(SEARCH($E$10,G19)))</xm:f>
            <xm:f>$E$10</xm:f>
            <x14:dxf>
              <fill>
                <patternFill>
                  <bgColor rgb="FF00B050"/>
                </patternFill>
              </fill>
            </x14:dxf>
          </x14:cfRule>
          <xm:sqref>G19:G62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1"/>
  <sheetViews>
    <sheetView tabSelected="1" topLeftCell="A43" zoomScale="44" zoomScaleNormal="44" workbookViewId="0">
      <selection activeCell="F20" sqref="F20:M20"/>
    </sheetView>
  </sheetViews>
  <sheetFormatPr baseColWidth="10" defaultColWidth="11.42578125" defaultRowHeight="15" x14ac:dyDescent="0.25"/>
  <cols>
    <col min="1" max="1" width="4.42578125" customWidth="1"/>
    <col min="3" max="3" width="35.5703125" customWidth="1"/>
    <col min="4" max="4" width="13" customWidth="1"/>
    <col min="5" max="5" width="43.28515625" customWidth="1"/>
    <col min="7" max="7" width="33.85546875" customWidth="1"/>
    <col min="9" max="9" width="92.28515625" customWidth="1"/>
    <col min="13" max="13" width="29" customWidth="1"/>
  </cols>
  <sheetData>
    <row r="1" spans="1:17" s="1" customFormat="1" x14ac:dyDescent="0.25"/>
    <row r="2" spans="1:17" ht="15.75" thickBot="1" x14ac:dyDescent="0.3">
      <c r="A2" s="1"/>
      <c r="B2" s="1"/>
      <c r="C2" s="1"/>
      <c r="D2" s="1"/>
      <c r="E2" s="1"/>
      <c r="F2" s="1"/>
      <c r="G2" s="1"/>
      <c r="H2" s="1"/>
      <c r="I2" s="1"/>
      <c r="J2" s="1"/>
      <c r="K2" s="1"/>
      <c r="L2" s="1"/>
      <c r="M2" s="1"/>
      <c r="N2" s="1"/>
      <c r="O2" s="1"/>
      <c r="P2" s="1"/>
      <c r="Q2" s="1"/>
    </row>
    <row r="3" spans="1:17" ht="19.350000000000001" customHeight="1" thickTop="1" x14ac:dyDescent="0.25">
      <c r="A3" s="1"/>
      <c r="B3" s="2"/>
      <c r="C3" s="3"/>
      <c r="D3" s="3"/>
      <c r="E3" s="3"/>
      <c r="F3" s="3"/>
      <c r="G3" s="3"/>
      <c r="H3" s="3"/>
      <c r="I3" s="3"/>
      <c r="J3" s="3"/>
      <c r="K3" s="3"/>
      <c r="L3" s="3"/>
      <c r="M3" s="3"/>
      <c r="N3" s="3"/>
      <c r="O3" s="3"/>
      <c r="P3" s="4"/>
      <c r="Q3" s="1"/>
    </row>
    <row r="4" spans="1:17" ht="9.4" customHeight="1" x14ac:dyDescent="0.3">
      <c r="A4" s="1"/>
      <c r="B4" s="5"/>
      <c r="C4" s="1"/>
      <c r="D4" s="1"/>
      <c r="E4" s="311" t="s">
        <v>124</v>
      </c>
      <c r="F4" s="313" t="s">
        <v>191</v>
      </c>
      <c r="G4" s="313"/>
      <c r="H4" s="313"/>
      <c r="I4" s="313"/>
      <c r="J4" s="313"/>
      <c r="K4" s="313"/>
      <c r="L4" s="313"/>
      <c r="M4" s="313"/>
      <c r="N4" s="6"/>
      <c r="O4" s="6"/>
      <c r="P4" s="7"/>
      <c r="Q4" s="1"/>
    </row>
    <row r="5" spans="1:17" ht="42" customHeight="1" x14ac:dyDescent="0.3">
      <c r="A5" s="1"/>
      <c r="B5" s="5"/>
      <c r="C5" s="1"/>
      <c r="D5" s="1"/>
      <c r="E5" s="312"/>
      <c r="F5" s="313"/>
      <c r="G5" s="313"/>
      <c r="H5" s="313"/>
      <c r="I5" s="313"/>
      <c r="J5" s="313"/>
      <c r="K5" s="313"/>
      <c r="L5" s="313"/>
      <c r="M5" s="313"/>
      <c r="N5" s="6"/>
      <c r="O5" s="6"/>
      <c r="P5" s="7"/>
      <c r="Q5" s="1"/>
    </row>
    <row r="6" spans="1:17" ht="39.75" customHeight="1" x14ac:dyDescent="0.3">
      <c r="A6" s="1"/>
      <c r="B6" s="5"/>
      <c r="C6" s="1"/>
      <c r="D6" s="1"/>
      <c r="E6" s="119" t="s">
        <v>125</v>
      </c>
      <c r="F6" s="314" t="s">
        <v>233</v>
      </c>
      <c r="G6" s="315"/>
      <c r="H6" s="315"/>
      <c r="I6" s="315"/>
      <c r="J6" s="315"/>
      <c r="K6" s="315"/>
      <c r="L6" s="315"/>
      <c r="M6" s="316"/>
      <c r="N6" s="8"/>
      <c r="O6" s="8"/>
      <c r="P6" s="7"/>
      <c r="Q6" s="1"/>
    </row>
    <row r="7" spans="1:17" ht="24.4" customHeight="1" thickBot="1" x14ac:dyDescent="0.35">
      <c r="A7" s="1"/>
      <c r="B7" s="5"/>
      <c r="C7" s="1"/>
      <c r="D7" s="1"/>
      <c r="E7" s="9"/>
      <c r="F7" s="8"/>
      <c r="G7" s="8"/>
      <c r="H7" s="8"/>
      <c r="I7" s="8"/>
      <c r="J7" s="8"/>
      <c r="K7" s="8"/>
      <c r="L7" s="8"/>
      <c r="M7" s="1"/>
      <c r="N7" s="1"/>
      <c r="O7" s="1"/>
      <c r="P7" s="7"/>
      <c r="Q7" s="1"/>
    </row>
    <row r="8" spans="1:17" ht="96.4" customHeight="1" thickBot="1" x14ac:dyDescent="0.3">
      <c r="A8" s="1"/>
      <c r="B8" s="5"/>
      <c r="C8" s="1"/>
      <c r="D8" s="1"/>
      <c r="E8" s="1"/>
      <c r="F8" s="1"/>
      <c r="G8" s="1"/>
      <c r="H8" s="1"/>
      <c r="I8" s="317" t="s">
        <v>126</v>
      </c>
      <c r="J8" s="318"/>
      <c r="K8" s="319"/>
      <c r="L8" s="1"/>
      <c r="M8" s="106">
        <f>+AVERAGE(G26,G28,G30,G32,G34)</f>
        <v>0.90738095238095229</v>
      </c>
      <c r="N8" s="10"/>
      <c r="O8" s="10"/>
      <c r="P8" s="7"/>
      <c r="Q8" s="1"/>
    </row>
    <row r="9" spans="1:17" ht="15.75" x14ac:dyDescent="0.25">
      <c r="A9" s="1"/>
      <c r="B9" s="5"/>
      <c r="C9" s="1"/>
      <c r="D9" s="1"/>
      <c r="E9" s="1"/>
      <c r="F9" s="1"/>
      <c r="G9" s="1"/>
      <c r="H9" s="1"/>
      <c r="I9" s="1"/>
      <c r="J9" s="1"/>
      <c r="K9" s="1"/>
      <c r="L9" s="1"/>
      <c r="M9" s="11"/>
      <c r="N9" s="11"/>
      <c r="O9" s="11"/>
      <c r="P9" s="7"/>
      <c r="Q9" s="1"/>
    </row>
    <row r="10" spans="1:17" x14ac:dyDescent="0.25">
      <c r="A10" s="1"/>
      <c r="B10" s="5"/>
      <c r="C10" s="1"/>
      <c r="D10" s="1"/>
      <c r="E10" s="1"/>
      <c r="F10" s="1"/>
      <c r="G10" s="1"/>
      <c r="H10" s="1"/>
      <c r="I10" s="1"/>
      <c r="J10" s="1"/>
      <c r="K10" s="1"/>
      <c r="L10" s="1"/>
      <c r="M10" s="1"/>
      <c r="N10" s="1"/>
      <c r="O10" s="1"/>
      <c r="P10" s="7"/>
      <c r="Q10" s="1"/>
    </row>
    <row r="11" spans="1:17" x14ac:dyDescent="0.25">
      <c r="A11" s="1"/>
      <c r="B11" s="5"/>
      <c r="C11" s="1"/>
      <c r="D11" s="1"/>
      <c r="E11" s="1"/>
      <c r="F11" s="1"/>
      <c r="G11" s="1"/>
      <c r="H11" s="1"/>
      <c r="I11" s="1"/>
      <c r="J11" s="1"/>
      <c r="K11" s="1"/>
      <c r="L11" s="1"/>
      <c r="M11" s="1"/>
      <c r="N11" s="1"/>
      <c r="O11" s="1"/>
      <c r="P11" s="7"/>
      <c r="Q11" s="1"/>
    </row>
    <row r="12" spans="1:17" ht="18" customHeight="1" x14ac:dyDescent="0.25">
      <c r="A12" s="1"/>
      <c r="B12" s="5"/>
      <c r="C12" s="1"/>
      <c r="D12" s="1"/>
      <c r="E12" s="1"/>
      <c r="F12" s="1"/>
      <c r="G12" s="1"/>
      <c r="H12" s="1"/>
      <c r="I12" s="1"/>
      <c r="J12" s="1"/>
      <c r="K12" s="1"/>
      <c r="L12" s="1"/>
      <c r="M12" s="1"/>
      <c r="N12" s="1"/>
      <c r="O12" s="1"/>
      <c r="P12" s="7"/>
      <c r="Q12" s="1"/>
    </row>
    <row r="13" spans="1:17" x14ac:dyDescent="0.25">
      <c r="A13" s="1"/>
      <c r="B13" s="5"/>
      <c r="C13" s="1"/>
      <c r="D13" s="1"/>
      <c r="E13" s="1"/>
      <c r="F13" s="1"/>
      <c r="G13" s="1"/>
      <c r="H13" s="1"/>
      <c r="I13" s="1"/>
      <c r="J13" s="1"/>
      <c r="K13" s="1"/>
      <c r="L13" s="1"/>
      <c r="M13" s="1"/>
      <c r="N13" s="1"/>
      <c r="O13" s="1"/>
      <c r="P13" s="7"/>
      <c r="Q13" s="1"/>
    </row>
    <row r="14" spans="1:17" ht="13.15" customHeight="1" x14ac:dyDescent="0.25">
      <c r="A14" s="1"/>
      <c r="B14" s="5"/>
      <c r="C14" s="1"/>
      <c r="D14" s="1"/>
      <c r="E14" s="1"/>
      <c r="F14" s="1"/>
      <c r="G14" s="1"/>
      <c r="H14" s="1"/>
      <c r="I14" s="1"/>
      <c r="J14" s="1"/>
      <c r="K14" s="1"/>
      <c r="L14" s="1"/>
      <c r="M14" s="1"/>
      <c r="N14" s="1"/>
      <c r="O14" s="1"/>
      <c r="P14" s="7"/>
      <c r="Q14" s="1"/>
    </row>
    <row r="15" spans="1:17" ht="9" customHeight="1" x14ac:dyDescent="0.25">
      <c r="A15" s="1"/>
      <c r="B15" s="5"/>
      <c r="C15" s="1"/>
      <c r="D15" s="1"/>
      <c r="E15" s="1"/>
      <c r="F15" s="1"/>
      <c r="G15" s="1"/>
      <c r="H15" s="1"/>
      <c r="I15" s="1"/>
      <c r="J15" s="1"/>
      <c r="K15" s="1"/>
      <c r="L15" s="1"/>
      <c r="M15" s="1"/>
      <c r="N15" s="1"/>
      <c r="O15" s="1"/>
      <c r="P15" s="7"/>
      <c r="Q15" s="1"/>
    </row>
    <row r="16" spans="1:17" ht="7.35" customHeight="1" x14ac:dyDescent="0.25">
      <c r="A16" s="1"/>
      <c r="B16" s="5"/>
      <c r="C16" s="1"/>
      <c r="D16" s="1"/>
      <c r="E16" s="1"/>
      <c r="F16" s="1"/>
      <c r="G16" s="1"/>
      <c r="H16" s="1"/>
      <c r="I16" s="1"/>
      <c r="J16" s="1"/>
      <c r="K16" s="1"/>
      <c r="L16" s="1"/>
      <c r="M16" s="1"/>
      <c r="N16" s="1"/>
      <c r="O16" s="1"/>
      <c r="P16" s="7"/>
      <c r="Q16" s="1"/>
    </row>
    <row r="17" spans="1:17" ht="6.4" customHeight="1" x14ac:dyDescent="0.25">
      <c r="A17" s="1"/>
      <c r="B17" s="5"/>
      <c r="C17" s="1"/>
      <c r="D17" s="1"/>
      <c r="E17" s="1"/>
      <c r="F17" s="1"/>
      <c r="G17" s="1"/>
      <c r="H17" s="1"/>
      <c r="I17" s="1"/>
      <c r="J17" s="1"/>
      <c r="K17" s="1"/>
      <c r="L17" s="1"/>
      <c r="M17" s="1"/>
      <c r="N17" s="1"/>
      <c r="O17" s="1"/>
      <c r="P17" s="7"/>
      <c r="Q17" s="1"/>
    </row>
    <row r="18" spans="1:17" ht="34.700000000000003" customHeight="1" x14ac:dyDescent="0.25">
      <c r="A18" s="1"/>
      <c r="B18" s="5"/>
      <c r="C18" s="320" t="s">
        <v>127</v>
      </c>
      <c r="D18" s="321"/>
      <c r="E18" s="321"/>
      <c r="F18" s="321"/>
      <c r="G18" s="321"/>
      <c r="H18" s="321"/>
      <c r="I18" s="321"/>
      <c r="J18" s="321"/>
      <c r="K18" s="321"/>
      <c r="L18" s="321"/>
      <c r="M18" s="322"/>
      <c r="N18" s="12"/>
      <c r="O18" s="12"/>
      <c r="P18" s="7"/>
      <c r="Q18" s="1"/>
    </row>
    <row r="19" spans="1:17" ht="10.35" customHeight="1" thickBot="1" x14ac:dyDescent="0.3">
      <c r="A19" s="1"/>
      <c r="B19" s="5"/>
      <c r="C19" s="13"/>
      <c r="D19" s="13"/>
      <c r="E19" s="13"/>
      <c r="F19" s="13"/>
      <c r="G19" s="13"/>
      <c r="H19" s="13"/>
      <c r="I19" s="13"/>
      <c r="J19" s="13"/>
      <c r="K19" s="13"/>
      <c r="L19" s="13"/>
      <c r="M19" s="13"/>
      <c r="N19" s="14"/>
      <c r="O19" s="14"/>
      <c r="P19" s="7"/>
      <c r="Q19" s="1"/>
    </row>
    <row r="20" spans="1:17" ht="124.7" customHeight="1" x14ac:dyDescent="0.25">
      <c r="A20" s="1"/>
      <c r="B20" s="5"/>
      <c r="C20" s="323" t="s">
        <v>128</v>
      </c>
      <c r="D20" s="324"/>
      <c r="E20" s="109" t="s">
        <v>76</v>
      </c>
      <c r="F20" s="325" t="s">
        <v>234</v>
      </c>
      <c r="G20" s="325"/>
      <c r="H20" s="325"/>
      <c r="I20" s="325"/>
      <c r="J20" s="325"/>
      <c r="K20" s="325"/>
      <c r="L20" s="325"/>
      <c r="M20" s="326"/>
      <c r="N20" s="14"/>
      <c r="O20" s="14"/>
      <c r="P20" s="7"/>
      <c r="Q20" s="1"/>
    </row>
    <row r="21" spans="1:17" ht="105.75" customHeight="1" x14ac:dyDescent="0.25">
      <c r="A21" s="1"/>
      <c r="B21" s="5"/>
      <c r="C21" s="307" t="s">
        <v>129</v>
      </c>
      <c r="D21" s="308"/>
      <c r="E21" s="110" t="s">
        <v>39</v>
      </c>
      <c r="F21" s="327" t="s">
        <v>235</v>
      </c>
      <c r="G21" s="327"/>
      <c r="H21" s="327"/>
      <c r="I21" s="327"/>
      <c r="J21" s="327"/>
      <c r="K21" s="327"/>
      <c r="L21" s="327"/>
      <c r="M21" s="328"/>
      <c r="N21" s="14"/>
      <c r="O21" s="14"/>
      <c r="P21" s="7"/>
      <c r="Q21" s="1"/>
    </row>
    <row r="22" spans="1:17" ht="135" customHeight="1" thickBot="1" x14ac:dyDescent="0.3">
      <c r="A22" s="1"/>
      <c r="B22" s="5"/>
      <c r="C22" s="309" t="s">
        <v>130</v>
      </c>
      <c r="D22" s="310"/>
      <c r="E22" s="111" t="s">
        <v>39</v>
      </c>
      <c r="F22" s="329" t="s">
        <v>236</v>
      </c>
      <c r="G22" s="329"/>
      <c r="H22" s="329"/>
      <c r="I22" s="329"/>
      <c r="J22" s="329"/>
      <c r="K22" s="329"/>
      <c r="L22" s="329"/>
      <c r="M22" s="330"/>
      <c r="N22" s="14"/>
      <c r="O22" s="14"/>
      <c r="P22" s="7"/>
      <c r="Q22" s="1"/>
    </row>
    <row r="23" spans="1:17" ht="12.75" customHeight="1" x14ac:dyDescent="0.25">
      <c r="A23" s="1"/>
      <c r="B23" s="5"/>
      <c r="C23" s="1"/>
      <c r="D23" s="1"/>
      <c r="E23" s="1"/>
      <c r="F23" s="1"/>
      <c r="G23" s="15"/>
      <c r="H23" s="1"/>
      <c r="I23" s="1"/>
      <c r="J23" s="1"/>
      <c r="K23" s="1"/>
      <c r="L23" s="1"/>
      <c r="M23" s="1"/>
      <c r="N23" s="1"/>
      <c r="O23" s="1"/>
      <c r="P23" s="7"/>
      <c r="Q23" s="1"/>
    </row>
    <row r="24" spans="1:17" ht="78.75" x14ac:dyDescent="0.25">
      <c r="A24" s="1"/>
      <c r="B24" s="5"/>
      <c r="C24" s="120" t="s">
        <v>131</v>
      </c>
      <c r="D24" s="74"/>
      <c r="E24" s="120" t="s">
        <v>132</v>
      </c>
      <c r="F24" s="74"/>
      <c r="G24" s="120" t="s">
        <v>133</v>
      </c>
      <c r="H24" s="74"/>
      <c r="I24" s="304" t="s">
        <v>134</v>
      </c>
      <c r="J24" s="304"/>
      <c r="K24" s="304"/>
      <c r="L24" s="304"/>
      <c r="M24" s="304"/>
      <c r="N24" s="30"/>
      <c r="O24" s="30"/>
      <c r="P24" s="7"/>
      <c r="Q24" s="16"/>
    </row>
    <row r="25" spans="1:17" ht="9.75" customHeight="1" thickBot="1" x14ac:dyDescent="0.3">
      <c r="A25" s="1"/>
      <c r="B25" s="5"/>
      <c r="C25" s="29"/>
      <c r="I25" s="305"/>
      <c r="J25" s="305"/>
      <c r="K25" s="305"/>
      <c r="L25" s="305"/>
      <c r="M25" s="305"/>
      <c r="N25" s="31"/>
      <c r="O25" s="31"/>
      <c r="P25" s="7"/>
      <c r="Q25" s="1"/>
    </row>
    <row r="26" spans="1:17" ht="409.6" customHeight="1" thickBot="1" x14ac:dyDescent="0.3">
      <c r="A26" s="1"/>
      <c r="B26" s="5"/>
      <c r="C26" s="66" t="s">
        <v>32</v>
      </c>
      <c r="D26" s="17"/>
      <c r="E26" s="107" t="str">
        <f>+IF(Hoja1!K2&gt;=0.5,"Si","No")</f>
        <v>Si</v>
      </c>
      <c r="F26" s="18"/>
      <c r="G26" s="108">
        <f>+Hoja1!K2</f>
        <v>0.95833333333333337</v>
      </c>
      <c r="H26" s="18"/>
      <c r="I26" s="301" t="s">
        <v>196</v>
      </c>
      <c r="J26" s="302"/>
      <c r="K26" s="302"/>
      <c r="L26" s="302"/>
      <c r="M26" s="303"/>
      <c r="N26" s="32"/>
      <c r="O26" s="33"/>
      <c r="P26" s="19"/>
      <c r="Q26" s="20"/>
    </row>
    <row r="27" spans="1:17" ht="4.9000000000000004" customHeight="1" thickBot="1" x14ac:dyDescent="0.45">
      <c r="A27" s="1"/>
      <c r="B27" s="5"/>
      <c r="C27" s="67"/>
      <c r="E27" s="73"/>
      <c r="G27" s="21"/>
      <c r="I27" s="306"/>
      <c r="J27" s="306"/>
      <c r="K27" s="306"/>
      <c r="L27" s="306"/>
      <c r="M27" s="306"/>
      <c r="N27" s="34"/>
      <c r="O27" s="34"/>
      <c r="P27" s="7"/>
      <c r="Q27" s="1"/>
    </row>
    <row r="28" spans="1:17" ht="261.95" customHeight="1" thickBot="1" x14ac:dyDescent="0.3">
      <c r="A28" s="1"/>
      <c r="B28" s="5"/>
      <c r="C28" s="68" t="s">
        <v>135</v>
      </c>
      <c r="D28" s="17"/>
      <c r="E28" s="107" t="str">
        <f>+IF(Hoja1!K14&gt;=0.5,"Si","No")</f>
        <v>Si</v>
      </c>
      <c r="G28" s="108">
        <f>+Hoja1!K14</f>
        <v>0.9</v>
      </c>
      <c r="I28" s="301" t="s">
        <v>197</v>
      </c>
      <c r="J28" s="302"/>
      <c r="K28" s="302"/>
      <c r="L28" s="302"/>
      <c r="M28" s="303"/>
      <c r="N28" s="32"/>
      <c r="O28" s="32"/>
      <c r="P28" s="7"/>
      <c r="Q28" s="1"/>
    </row>
    <row r="29" spans="1:17" ht="4.7" customHeight="1" thickBot="1" x14ac:dyDescent="0.45">
      <c r="A29" s="1"/>
      <c r="B29" s="5"/>
      <c r="C29" s="67"/>
      <c r="E29" s="73"/>
      <c r="G29" s="21"/>
      <c r="I29" s="306"/>
      <c r="J29" s="306"/>
      <c r="K29" s="306"/>
      <c r="L29" s="306"/>
      <c r="M29" s="306"/>
      <c r="N29" s="34"/>
      <c r="O29" s="34"/>
      <c r="P29" s="7"/>
      <c r="Q29" s="1"/>
    </row>
    <row r="30" spans="1:17" ht="159.75" customHeight="1" thickBot="1" x14ac:dyDescent="0.3">
      <c r="A30" s="1"/>
      <c r="B30" s="5"/>
      <c r="C30" s="69" t="s">
        <v>136</v>
      </c>
      <c r="D30" s="17"/>
      <c r="E30" s="107" t="str">
        <f>+IF(Hoja1!K24&gt;=0.5,"Si","No")</f>
        <v>Si</v>
      </c>
      <c r="G30" s="108">
        <f>+Hoja1!K24</f>
        <v>0.9</v>
      </c>
      <c r="I30" s="301" t="s">
        <v>194</v>
      </c>
      <c r="J30" s="302"/>
      <c r="K30" s="302"/>
      <c r="L30" s="302"/>
      <c r="M30" s="303"/>
      <c r="N30" s="32"/>
      <c r="O30" s="32"/>
      <c r="P30" s="7"/>
      <c r="Q30" s="1"/>
    </row>
    <row r="31" spans="1:17" ht="4.9000000000000004" customHeight="1" thickBot="1" x14ac:dyDescent="0.45">
      <c r="A31" s="1"/>
      <c r="B31" s="5"/>
      <c r="C31" s="67"/>
      <c r="E31" s="73"/>
      <c r="G31" s="21"/>
      <c r="I31" s="306"/>
      <c r="J31" s="306"/>
      <c r="K31" s="306"/>
      <c r="L31" s="306"/>
      <c r="M31" s="306"/>
      <c r="N31" s="34"/>
      <c r="O31" s="34"/>
      <c r="P31" s="7"/>
      <c r="Q31" s="1"/>
    </row>
    <row r="32" spans="1:17" ht="224.45" customHeight="1" thickBot="1" x14ac:dyDescent="0.3">
      <c r="A32" s="1"/>
      <c r="B32" s="5"/>
      <c r="C32" s="70" t="s">
        <v>87</v>
      </c>
      <c r="D32" s="17"/>
      <c r="E32" s="107" t="str">
        <f>+IF(Hoja1!K29&gt;=0.5,"Si","No")</f>
        <v>Si</v>
      </c>
      <c r="G32" s="108">
        <f>+Hoja1!K29</f>
        <v>0.9285714285714286</v>
      </c>
      <c r="I32" s="301" t="s">
        <v>198</v>
      </c>
      <c r="J32" s="302"/>
      <c r="K32" s="302"/>
      <c r="L32" s="302"/>
      <c r="M32" s="303"/>
      <c r="N32" s="32"/>
      <c r="O32" s="32"/>
      <c r="P32" s="7"/>
      <c r="Q32" s="1"/>
    </row>
    <row r="33" spans="1:17" ht="4.3499999999999996" customHeight="1" thickBot="1" x14ac:dyDescent="0.45">
      <c r="A33" s="1"/>
      <c r="B33" s="5"/>
      <c r="C33" s="67"/>
      <c r="E33" s="73"/>
      <c r="G33" s="21"/>
      <c r="I33" s="306"/>
      <c r="J33" s="306"/>
      <c r="K33" s="306"/>
      <c r="L33" s="306"/>
      <c r="M33" s="306"/>
      <c r="N33" s="34"/>
      <c r="O33" s="34"/>
      <c r="P33" s="7"/>
      <c r="Q33" s="1"/>
    </row>
    <row r="34" spans="1:17" ht="195.95" customHeight="1" thickBot="1" x14ac:dyDescent="0.3">
      <c r="A34" s="1"/>
      <c r="B34" s="5"/>
      <c r="C34" s="71" t="s">
        <v>137</v>
      </c>
      <c r="D34" s="17"/>
      <c r="E34" s="72" t="str">
        <f>+IF(Hoja1!K36&gt;=0.5,"Si","No")</f>
        <v>Si</v>
      </c>
      <c r="G34" s="108">
        <f>+Hoja1!K36</f>
        <v>0.85</v>
      </c>
      <c r="I34" s="301" t="s">
        <v>199</v>
      </c>
      <c r="J34" s="302"/>
      <c r="K34" s="302"/>
      <c r="L34" s="302"/>
      <c r="M34" s="303"/>
      <c r="N34" s="32"/>
      <c r="O34" s="32"/>
      <c r="P34" s="7"/>
      <c r="Q34" s="1"/>
    </row>
    <row r="35" spans="1:17" ht="4.7" customHeight="1" x14ac:dyDescent="0.25">
      <c r="A35" s="1"/>
      <c r="B35" s="5"/>
      <c r="C35" s="22"/>
      <c r="D35" s="22"/>
      <c r="E35" s="14"/>
      <c r="F35" s="1"/>
      <c r="G35" s="1"/>
      <c r="H35" s="1"/>
      <c r="I35" s="1"/>
      <c r="J35" s="1"/>
      <c r="K35" s="1"/>
      <c r="L35" s="1"/>
      <c r="M35" s="23"/>
      <c r="N35" s="23"/>
      <c r="O35" s="23"/>
      <c r="P35" s="7"/>
      <c r="Q35" s="1"/>
    </row>
    <row r="36" spans="1:17" ht="3" customHeight="1" x14ac:dyDescent="0.25">
      <c r="A36" s="1"/>
      <c r="B36" s="5"/>
      <c r="C36" s="24"/>
      <c r="D36" s="22"/>
      <c r="E36" s="14"/>
      <c r="F36" s="1"/>
      <c r="G36" s="1"/>
      <c r="H36" s="1"/>
      <c r="I36" s="1"/>
      <c r="J36" s="1"/>
      <c r="K36" s="1"/>
      <c r="L36" s="1"/>
      <c r="M36" s="23"/>
      <c r="N36" s="23"/>
      <c r="O36" s="23"/>
      <c r="P36" s="7"/>
      <c r="Q36" s="1"/>
    </row>
    <row r="37" spans="1:17" ht="3.75" customHeight="1" x14ac:dyDescent="0.25">
      <c r="A37" s="1"/>
      <c r="B37" s="5"/>
      <c r="C37" s="25"/>
      <c r="D37" s="1"/>
      <c r="E37" s="1"/>
      <c r="F37" s="1"/>
      <c r="G37" s="1"/>
      <c r="H37" s="1"/>
      <c r="I37" s="1"/>
      <c r="J37" s="1"/>
      <c r="K37" s="1"/>
      <c r="L37" s="1"/>
      <c r="M37" s="1"/>
      <c r="N37" s="1"/>
      <c r="O37" s="1"/>
      <c r="P37" s="7"/>
      <c r="Q37" s="1"/>
    </row>
    <row r="38" spans="1:17" ht="4.7" customHeight="1" thickBot="1" x14ac:dyDescent="0.3">
      <c r="A38" s="1"/>
      <c r="B38" s="26"/>
      <c r="C38" s="27"/>
      <c r="D38" s="27"/>
      <c r="E38" s="27"/>
      <c r="F38" s="27"/>
      <c r="G38" s="27"/>
      <c r="H38" s="27"/>
      <c r="I38" s="27"/>
      <c r="J38" s="27"/>
      <c r="K38" s="27"/>
      <c r="L38" s="27"/>
      <c r="M38" s="27"/>
      <c r="N38" s="27"/>
      <c r="O38" s="27"/>
      <c r="P38" s="28"/>
      <c r="Q38" s="1"/>
    </row>
    <row r="39" spans="1:17" ht="15.75" thickTop="1" x14ac:dyDescent="0.25">
      <c r="A39" s="1"/>
      <c r="B39" s="1"/>
      <c r="C39" s="1"/>
      <c r="D39" s="1"/>
      <c r="E39" s="1"/>
      <c r="F39" s="1"/>
      <c r="G39" s="1"/>
      <c r="H39" s="1"/>
      <c r="I39" s="1"/>
      <c r="J39" s="1"/>
      <c r="K39" s="1"/>
      <c r="L39" s="1"/>
      <c r="M39" s="1"/>
      <c r="N39" s="1"/>
      <c r="O39" s="1"/>
      <c r="P39" s="1"/>
      <c r="Q39" s="1"/>
    </row>
    <row r="40" spans="1:17" x14ac:dyDescent="0.25">
      <c r="A40" s="1"/>
      <c r="B40" s="1"/>
      <c r="C40" s="1"/>
      <c r="D40" s="1"/>
      <c r="E40" s="1"/>
      <c r="F40" s="1"/>
      <c r="G40" s="1"/>
      <c r="H40" s="1"/>
      <c r="I40" s="1"/>
      <c r="J40" s="1"/>
      <c r="K40" s="1"/>
      <c r="L40" s="1"/>
      <c r="M40" s="1"/>
      <c r="N40" s="1"/>
      <c r="O40" s="1"/>
      <c r="P40" s="1"/>
      <c r="Q40" s="1"/>
    </row>
    <row r="41" spans="1:17" x14ac:dyDescent="0.25">
      <c r="A41" s="1"/>
      <c r="B41" s="1"/>
      <c r="C41" s="1"/>
      <c r="D41" s="1"/>
      <c r="E41" s="1"/>
      <c r="F41" s="1"/>
      <c r="G41" s="1"/>
      <c r="H41" s="1"/>
      <c r="I41" s="1"/>
      <c r="J41" s="1"/>
      <c r="K41" s="1"/>
      <c r="L41" s="1"/>
      <c r="M41" s="1"/>
      <c r="N41" s="1"/>
      <c r="O41" s="1"/>
      <c r="P41" s="1"/>
      <c r="Q41" s="1"/>
    </row>
  </sheetData>
  <sheetProtection algorithmName="SHA-512" hashValue="mur5Q3PEaZxn8LXLz/eSymodHMyMcb7gr8gXWBwpSU/m7uV0ZPVWkcKOdJlg0OS/SXBXX9P/iBb2vTO1mWy68A==" saltValue="abZlHLcGIMQMz4F8z7vkTw==" spinCount="100000" sheet="1" objects="1" scenarios="1" formatCells="0" formatRows="0"/>
  <mergeCells count="22">
    <mergeCell ref="C21:D21"/>
    <mergeCell ref="C22:D22"/>
    <mergeCell ref="E4:E5"/>
    <mergeCell ref="F4:M5"/>
    <mergeCell ref="F6:M6"/>
    <mergeCell ref="I8:K8"/>
    <mergeCell ref="C18:M18"/>
    <mergeCell ref="C20:D20"/>
    <mergeCell ref="F20:M20"/>
    <mergeCell ref="F21:M21"/>
    <mergeCell ref="F22:M22"/>
    <mergeCell ref="I34:M34"/>
    <mergeCell ref="I30:M30"/>
    <mergeCell ref="I32:M32"/>
    <mergeCell ref="I24:M24"/>
    <mergeCell ref="I26:M26"/>
    <mergeCell ref="I28:M28"/>
    <mergeCell ref="I25:M25"/>
    <mergeCell ref="I27:M27"/>
    <mergeCell ref="I29:M29"/>
    <mergeCell ref="I31:M31"/>
    <mergeCell ref="I33:M33"/>
  </mergeCells>
  <conditionalFormatting sqref="G26 G28 G30 G32 G34">
    <cfRule type="cellIs" priority="4" operator="between">
      <formula>0.75</formula>
      <formula>1</formula>
    </cfRule>
    <cfRule type="cellIs" dxfId="11" priority="5" operator="between">
      <formula>0.5</formula>
      <formula>0.75</formula>
    </cfRule>
    <cfRule type="cellIs" dxfId="10" priority="6" operator="between">
      <formula>0</formula>
      <formula>0.49</formula>
    </cfRule>
    <cfRule type="cellIs" dxfId="9" priority="31" operator="between">
      <formula>0.76</formula>
      <formula>1</formula>
    </cfRule>
    <cfRule type="cellIs" dxfId="8" priority="32" operator="between">
      <formula>0.51</formula>
      <formula>0.75</formula>
    </cfRule>
    <cfRule type="cellIs" dxfId="7" priority="33" operator="between">
      <formula>0.26</formula>
      <formula>0.5</formula>
    </cfRule>
  </conditionalFormatting>
  <conditionalFormatting sqref="M8">
    <cfRule type="cellIs" dxfId="5" priority="1" operator="between">
      <formula>0.75</formula>
      <formula>1</formula>
    </cfRule>
    <cfRule type="cellIs" dxfId="4" priority="2" operator="between">
      <formula>0.5</formula>
      <formula>0.75</formula>
    </cfRule>
    <cfRule type="cellIs" dxfId="3" priority="3" operator="between">
      <formula>0</formula>
      <formula>0.49</formula>
    </cfRule>
    <cfRule type="cellIs" priority="27" operator="between">
      <formula>0.76</formula>
      <formula>1</formula>
    </cfRule>
    <cfRule type="cellIs" dxfId="2" priority="28" operator="between">
      <formula>0.51</formula>
      <formula>0.75</formula>
    </cfRule>
    <cfRule type="cellIs" dxfId="1" priority="29" operator="between">
      <formula>0.26</formula>
      <formula>0.5</formula>
    </cfRule>
    <cfRule type="cellIs" dxfId="0" priority="30" operator="between">
      <formula>0</formula>
      <formula>0.25</formula>
    </cfRule>
  </conditionalFormatting>
  <dataValidations count="3">
    <dataValidation type="list" allowBlank="1" showInputMessage="1" showErrorMessage="1" sqref="E21:E22" xr:uid="{00000000-0002-0000-0300-000000000000}">
      <formula1>"Si, No"</formula1>
    </dataValidation>
    <dataValidation allowBlank="1" showInputMessage="1" showErrorMessage="1" prompt="Celda formulada, información proveniente de la pestaña de deficiencias." sqref="E24" xr:uid="{00000000-0002-0000-0300-000001000000}"/>
    <dataValidation type="list" allowBlank="1" showInputMessage="1" showErrorMessage="1" sqref="E20" xr:uid="{00000000-0002-0000-0300-000002000000}">
      <formula1>"Si,En proceso,No"</formula1>
    </dataValidation>
  </dataValidations>
  <printOptions horizontalCentered="1"/>
  <pageMargins left="0.70866141732283472" right="0.70866141732283472" top="0.74803149606299213" bottom="0.74803149606299213" header="0.31496062992125984" footer="0.31496062992125984"/>
  <pageSetup scale="33" fitToWidth="0" fitToHeight="0" orientation="landscape" horizontalDpi="300" verticalDpi="300" r:id="rId1"/>
  <drawing r:id="rId2"/>
  <extLst>
    <ext xmlns:x14="http://schemas.microsoft.com/office/spreadsheetml/2009/9/main" uri="{78C0D931-6437-407d-A8EE-F0AAD7539E65}">
      <x14:conditionalFormattings>
        <x14:conditionalFormatting xmlns:xm="http://schemas.microsoft.com/office/excel/2006/main">
          <x14:cfRule type="cellIs" priority="34" operator="between" id="{7ADAD4B9-72C7-4518-BD8A-A7D8DD349CD9}">
            <xm:f>0</xm:f>
            <xm:f>'C:\Users\dell\Desktop\cesar\HISTORICOS\[2020-04-22_Formato_informe_sci_parametrizado_final.xlsx]Analisis de Resultados'!#REF!</xm:f>
            <x14:dxf>
              <fill>
                <patternFill>
                  <bgColor rgb="FFFF0000"/>
                </patternFill>
              </fill>
            </x14:dxf>
          </x14:cfRule>
          <xm:sqref>G26 G28 G30 G32 G34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5"/>
  <sheetViews>
    <sheetView workbookViewId="0"/>
  </sheetViews>
  <sheetFormatPr baseColWidth="10" defaultColWidth="11.42578125" defaultRowHeight="15" x14ac:dyDescent="0.25"/>
  <cols>
    <col min="2" max="2" width="31" bestFit="1" customWidth="1"/>
    <col min="3" max="3" width="17.140625" customWidth="1"/>
    <col min="5" max="5" width="15.140625" customWidth="1"/>
    <col min="10" max="10" width="15.7109375" customWidth="1"/>
    <col min="11" max="11" width="12" bestFit="1" customWidth="1"/>
  </cols>
  <sheetData>
    <row r="1" spans="1:11" ht="84.75" customHeight="1" x14ac:dyDescent="0.25">
      <c r="A1" s="112" t="s">
        <v>25</v>
      </c>
      <c r="B1" s="112" t="s">
        <v>6</v>
      </c>
      <c r="C1" s="113" t="s">
        <v>8</v>
      </c>
      <c r="D1" s="114" t="s">
        <v>26</v>
      </c>
      <c r="E1" s="114" t="s">
        <v>27</v>
      </c>
      <c r="F1" s="114" t="s">
        <v>138</v>
      </c>
      <c r="G1" s="115" t="s">
        <v>139</v>
      </c>
      <c r="H1" s="115" t="s">
        <v>140</v>
      </c>
      <c r="I1" s="115" t="s">
        <v>119</v>
      </c>
      <c r="J1" s="115" t="s">
        <v>141</v>
      </c>
      <c r="K1" s="115" t="s">
        <v>142</v>
      </c>
    </row>
    <row r="2" spans="1:11" x14ac:dyDescent="0.25">
      <c r="A2" s="116" t="s">
        <v>143</v>
      </c>
      <c r="B2" s="116" t="str">
        <f>+VLOOKUP(A2,'Estado SCI'!$A$16:$C$59,3,0)</f>
        <v>AMBIENTE DE CONTROL</v>
      </c>
      <c r="C2" s="116" t="s">
        <v>33</v>
      </c>
      <c r="D2" s="116" t="s">
        <v>34</v>
      </c>
      <c r="E2" s="116" t="s">
        <v>35</v>
      </c>
      <c r="F2" s="116" t="str">
        <f>+VLOOKUP(A2,'Estado SCI'!$A$16:$I$59,9,0)</f>
        <v>Mantenimiento del control</v>
      </c>
      <c r="G2" s="116">
        <f>+VLOOKUP(A2,'Estado SCI'!$A$16:$L$59,12,0)</f>
        <v>20.123000000000001</v>
      </c>
      <c r="H2" s="116">
        <f t="shared" ref="H2:H45" si="0">+_xlfn.RANK.EQ(G2,$G$2:$G$45,1)</f>
        <v>2</v>
      </c>
      <c r="I2" s="116" t="str">
        <f>+IF(VLOOKUP(A2,'Estado SCI'!$A$16:$G$59,7,0)="","",VLOOKUP(A2,'Estado SCI'!$A$16:$G$59,7,0))</f>
        <v>Si</v>
      </c>
      <c r="J2" s="117">
        <f>+IF(I2="Si",1,IF(I2="En proceso",0.5,0))</f>
        <v>1</v>
      </c>
      <c r="K2" s="118">
        <f t="shared" ref="K2:K45" si="1">+AVERAGEIF($B$2:$B$45,B2,$J$2:$J$45)</f>
        <v>0.95833333333333337</v>
      </c>
    </row>
    <row r="3" spans="1:11" x14ac:dyDescent="0.25">
      <c r="A3" s="116" t="s">
        <v>144</v>
      </c>
      <c r="B3" s="116" t="s">
        <v>32</v>
      </c>
      <c r="C3" s="116" t="s">
        <v>33</v>
      </c>
      <c r="D3" s="116" t="s">
        <v>37</v>
      </c>
      <c r="E3" s="116" t="s">
        <v>38</v>
      </c>
      <c r="F3" s="116" t="str">
        <f>+VLOOKUP(A3,'Estado SCI'!$A$16:$I$59,9,0)</f>
        <v>Mantenimiento del control</v>
      </c>
      <c r="G3" s="116">
        <f>+VLOOKUP(A3,'Estado SCI'!$A$16:$L$59,12,0)</f>
        <v>20.1234</v>
      </c>
      <c r="H3" s="116">
        <f t="shared" si="0"/>
        <v>3</v>
      </c>
      <c r="I3" s="116" t="str">
        <f>+IF(VLOOKUP(A3,'Estado SCI'!$A$16:$G$59,7,0)="","",VLOOKUP(A3,'Estado SCI'!$A$16:$G$59,7,0))</f>
        <v>Si</v>
      </c>
      <c r="J3" s="117">
        <f t="shared" ref="J3:J45" si="2">+IF(I3="Si",1,IF(I3="En proceso",0.5,0))</f>
        <v>1</v>
      </c>
      <c r="K3" s="118">
        <f t="shared" si="1"/>
        <v>0.95833333333333337</v>
      </c>
    </row>
    <row r="4" spans="1:11" x14ac:dyDescent="0.25">
      <c r="A4" s="116" t="s">
        <v>145</v>
      </c>
      <c r="B4" s="116" t="s">
        <v>32</v>
      </c>
      <c r="C4" s="116" t="s">
        <v>33</v>
      </c>
      <c r="D4" s="116" t="s">
        <v>40</v>
      </c>
      <c r="E4" s="116" t="s">
        <v>41</v>
      </c>
      <c r="F4" s="116" t="str">
        <f>+VLOOKUP(A4,'Estado SCI'!$A$16:$I$59,9,0)</f>
        <v>Mantenimiento del control</v>
      </c>
      <c r="G4" s="116">
        <f>+VLOOKUP(A4,'Estado SCI'!$A$16:$L$59,12,0)</f>
        <v>20.123449999999998</v>
      </c>
      <c r="H4" s="116">
        <f t="shared" si="0"/>
        <v>4</v>
      </c>
      <c r="I4" s="116" t="str">
        <f>+IF(VLOOKUP(A4,'Estado SCI'!$A$16:$G$59,7,0)="","",VLOOKUP(A4,'Estado SCI'!$A$16:$G$59,7,0))</f>
        <v>Si</v>
      </c>
      <c r="J4" s="117">
        <f t="shared" si="2"/>
        <v>1</v>
      </c>
      <c r="K4" s="118">
        <f t="shared" si="1"/>
        <v>0.95833333333333337</v>
      </c>
    </row>
    <row r="5" spans="1:11" x14ac:dyDescent="0.25">
      <c r="A5" s="116" t="s">
        <v>146</v>
      </c>
      <c r="B5" s="116" t="s">
        <v>32</v>
      </c>
      <c r="C5" s="116" t="s">
        <v>33</v>
      </c>
      <c r="D5" s="116" t="s">
        <v>42</v>
      </c>
      <c r="E5" s="116" t="s">
        <v>43</v>
      </c>
      <c r="F5" s="116" t="str">
        <f>+VLOOKUP(A5,'Estado SCI'!$A$16:$I$59,9,0)</f>
        <v>Oportunidad de mejora</v>
      </c>
      <c r="G5" s="116">
        <f>+VLOOKUP(A5,'Estado SCI'!$A$16:$L$59,12,0)</f>
        <v>10.123455999999999</v>
      </c>
      <c r="H5" s="116">
        <f t="shared" si="0"/>
        <v>1</v>
      </c>
      <c r="I5" s="116" t="str">
        <f>+IF(VLOOKUP(A5,'Estado SCI'!$A$16:$G$59,7,0)="","",VLOOKUP(A5,'Estado SCI'!$A$16:$G$59,7,0))</f>
        <v>En proceso</v>
      </c>
      <c r="J5" s="117">
        <f t="shared" si="2"/>
        <v>0.5</v>
      </c>
      <c r="K5" s="118">
        <f t="shared" si="1"/>
        <v>0.95833333333333337</v>
      </c>
    </row>
    <row r="6" spans="1:11" x14ac:dyDescent="0.25">
      <c r="A6" s="116" t="s">
        <v>147</v>
      </c>
      <c r="B6" s="116" t="s">
        <v>32</v>
      </c>
      <c r="C6" s="116" t="s">
        <v>33</v>
      </c>
      <c r="D6" s="116" t="s">
        <v>44</v>
      </c>
      <c r="E6" s="116" t="s">
        <v>45</v>
      </c>
      <c r="F6" s="116" t="str">
        <f>+VLOOKUP(A6,'Estado SCI'!$A$16:$I$59,9,0)</f>
        <v>Mantenimiento del control</v>
      </c>
      <c r="G6" s="116">
        <f>+VLOOKUP(A6,'Estado SCI'!$A$16:$L$59,12,0)</f>
        <v>20.123456780000001</v>
      </c>
      <c r="H6" s="116">
        <f t="shared" si="0"/>
        <v>5</v>
      </c>
      <c r="I6" s="116" t="str">
        <f>+IF(VLOOKUP(A6,'Estado SCI'!$A$16:$G$59,7,0)="","",VLOOKUP(A6,'Estado SCI'!$A$16:$G$59,7,0))</f>
        <v>Si</v>
      </c>
      <c r="J6" s="117">
        <f t="shared" si="2"/>
        <v>1</v>
      </c>
      <c r="K6" s="118">
        <f t="shared" si="1"/>
        <v>0.95833333333333337</v>
      </c>
    </row>
    <row r="7" spans="1:11" x14ac:dyDescent="0.25">
      <c r="A7" s="116" t="s">
        <v>148</v>
      </c>
      <c r="B7" s="116" t="s">
        <v>32</v>
      </c>
      <c r="C7" s="116" t="s">
        <v>33</v>
      </c>
      <c r="D7" s="116" t="s">
        <v>46</v>
      </c>
      <c r="E7" s="116" t="s">
        <v>47</v>
      </c>
      <c r="F7" s="116" t="str">
        <f>+VLOOKUP(A7,'Estado SCI'!$A$16:$I$59,9,0)</f>
        <v>Mantenimiento del control</v>
      </c>
      <c r="G7" s="116">
        <f>+VLOOKUP(A7,'Estado SCI'!$A$16:$L$59,12,0)</f>
        <v>20.123456788999999</v>
      </c>
      <c r="H7" s="116">
        <f t="shared" si="0"/>
        <v>6</v>
      </c>
      <c r="I7" s="116" t="str">
        <f>+IF(VLOOKUP(A7,'Estado SCI'!$A$16:$G$59,7,0)="","",VLOOKUP(A7,'Estado SCI'!$A$16:$G$59,7,0))</f>
        <v>Si</v>
      </c>
      <c r="J7" s="117">
        <f t="shared" si="2"/>
        <v>1</v>
      </c>
      <c r="K7" s="118">
        <f t="shared" si="1"/>
        <v>0.95833333333333337</v>
      </c>
    </row>
    <row r="8" spans="1:11" x14ac:dyDescent="0.25">
      <c r="A8" s="116" t="s">
        <v>149</v>
      </c>
      <c r="B8" s="116" t="s">
        <v>32</v>
      </c>
      <c r="C8" s="116" t="s">
        <v>33</v>
      </c>
      <c r="D8" s="116" t="s">
        <v>48</v>
      </c>
      <c r="E8" s="116" t="s">
        <v>49</v>
      </c>
      <c r="F8" s="116" t="str">
        <f>+VLOOKUP(A8,'Estado SCI'!$A$16:$I$59,9,0)</f>
        <v>Mantenimiento del control</v>
      </c>
      <c r="G8" s="116">
        <f>+VLOOKUP(A8,'Estado SCI'!$A$16:$L$59,12,0)</f>
        <v>20.1234567891</v>
      </c>
      <c r="H8" s="116">
        <f t="shared" si="0"/>
        <v>7</v>
      </c>
      <c r="I8" s="116" t="str">
        <f>+IF(VLOOKUP(A8,'Estado SCI'!$A$16:$G$59,7,0)="","",VLOOKUP(A8,'Estado SCI'!$A$16:$G$59,7,0))</f>
        <v>Si</v>
      </c>
      <c r="J8" s="117">
        <f t="shared" si="2"/>
        <v>1</v>
      </c>
      <c r="K8" s="118">
        <f t="shared" si="1"/>
        <v>0.95833333333333337</v>
      </c>
    </row>
    <row r="9" spans="1:11" x14ac:dyDescent="0.25">
      <c r="A9" s="116" t="s">
        <v>150</v>
      </c>
      <c r="B9" s="116" t="s">
        <v>32</v>
      </c>
      <c r="C9" s="116" t="s">
        <v>33</v>
      </c>
      <c r="D9" s="116" t="s">
        <v>50</v>
      </c>
      <c r="E9" s="116" t="s">
        <v>51</v>
      </c>
      <c r="F9" s="116" t="str">
        <f>+VLOOKUP(A9,'Estado SCI'!$A$16:$I$59,9,0)</f>
        <v>Mantenimiento del control</v>
      </c>
      <c r="G9" s="116">
        <f>+VLOOKUP(A9,'Estado SCI'!$A$16:$L$59,12,0)</f>
        <v>20.123456789119999</v>
      </c>
      <c r="H9" s="116">
        <f t="shared" si="0"/>
        <v>8</v>
      </c>
      <c r="I9" s="116" t="str">
        <f>+IF(VLOOKUP(A9,'Estado SCI'!$A$16:$G$59,7,0)="","",VLOOKUP(A9,'Estado SCI'!$A$16:$G$59,7,0))</f>
        <v>Si</v>
      </c>
      <c r="J9" s="117">
        <f t="shared" si="2"/>
        <v>1</v>
      </c>
      <c r="K9" s="118">
        <f t="shared" si="1"/>
        <v>0.95833333333333337</v>
      </c>
    </row>
    <row r="10" spans="1:11" x14ac:dyDescent="0.25">
      <c r="A10" s="116" t="s">
        <v>151</v>
      </c>
      <c r="B10" s="116" t="s">
        <v>32</v>
      </c>
      <c r="C10" s="116" t="s">
        <v>33</v>
      </c>
      <c r="D10" s="116" t="s">
        <v>52</v>
      </c>
      <c r="E10" s="116" t="s">
        <v>53</v>
      </c>
      <c r="F10" s="116" t="str">
        <f>+VLOOKUP(A10,'Estado SCI'!$A$16:$I$59,9,0)</f>
        <v>Mantenimiento del control</v>
      </c>
      <c r="G10" s="116">
        <f>+VLOOKUP(A10,'Estado SCI'!$A$16:$L$59,12,0)</f>
        <v>20.123456789123001</v>
      </c>
      <c r="H10" s="116">
        <f t="shared" si="0"/>
        <v>9</v>
      </c>
      <c r="I10" s="116" t="str">
        <f>+IF(VLOOKUP(A10,'Estado SCI'!$A$16:$G$59,7,0)="","",VLOOKUP(A10,'Estado SCI'!$A$16:$G$59,7,0))</f>
        <v>Si</v>
      </c>
      <c r="J10" s="117">
        <f t="shared" si="2"/>
        <v>1</v>
      </c>
      <c r="K10" s="118">
        <f t="shared" si="1"/>
        <v>0.95833333333333337</v>
      </c>
    </row>
    <row r="11" spans="1:11" x14ac:dyDescent="0.25">
      <c r="A11" s="116" t="s">
        <v>152</v>
      </c>
      <c r="B11" s="116" t="s">
        <v>32</v>
      </c>
      <c r="C11" s="116" t="s">
        <v>33</v>
      </c>
      <c r="D11" s="116" t="s">
        <v>54</v>
      </c>
      <c r="E11" s="116" t="s">
        <v>55</v>
      </c>
      <c r="F11" s="116" t="str">
        <f>+VLOOKUP(A11,'Estado SCI'!$A$16:$I$59,9,0)</f>
        <v>Mantenimiento del control</v>
      </c>
      <c r="G11" s="116">
        <f>+VLOOKUP(A11,'Estado SCI'!$A$16:$L$59,12,0)</f>
        <v>20.123456789123399</v>
      </c>
      <c r="H11" s="116">
        <f t="shared" si="0"/>
        <v>10</v>
      </c>
      <c r="I11" s="116" t="str">
        <f>+IF(VLOOKUP(A11,'Estado SCI'!$A$16:$G$59,7,0)="","",VLOOKUP(A11,'Estado SCI'!$A$16:$G$59,7,0))</f>
        <v>Si</v>
      </c>
      <c r="J11" s="117">
        <f t="shared" si="2"/>
        <v>1</v>
      </c>
      <c r="K11" s="118">
        <f t="shared" si="1"/>
        <v>0.95833333333333337</v>
      </c>
    </row>
    <row r="12" spans="1:11" x14ac:dyDescent="0.25">
      <c r="A12" s="116" t="s">
        <v>153</v>
      </c>
      <c r="B12" s="116" t="s">
        <v>32</v>
      </c>
      <c r="C12" s="116" t="s">
        <v>33</v>
      </c>
      <c r="D12" s="116" t="s">
        <v>56</v>
      </c>
      <c r="E12" s="116" t="s">
        <v>57</v>
      </c>
      <c r="F12" s="116" t="str">
        <f>+VLOOKUP(A12,'Estado SCI'!$A$16:$I$59,9,0)</f>
        <v>Mantenimiento del control</v>
      </c>
      <c r="G12" s="116">
        <f>+VLOOKUP(A12,'Estado SCI'!$A$16:$L$59,12,0)</f>
        <v>20.123456789123448</v>
      </c>
      <c r="H12" s="116">
        <f t="shared" si="0"/>
        <v>11</v>
      </c>
      <c r="I12" s="116" t="str">
        <f>+IF(VLOOKUP(A12,'Estado SCI'!$A$16:$G$59,7,0)="","",VLOOKUP(A12,'Estado SCI'!$A$16:$G$59,7,0))</f>
        <v>Si</v>
      </c>
      <c r="J12" s="117">
        <f t="shared" si="2"/>
        <v>1</v>
      </c>
      <c r="K12" s="118">
        <f t="shared" si="1"/>
        <v>0.95833333333333337</v>
      </c>
    </row>
    <row r="13" spans="1:11" x14ac:dyDescent="0.25">
      <c r="A13" s="116" t="s">
        <v>154</v>
      </c>
      <c r="B13" s="116" t="s">
        <v>32</v>
      </c>
      <c r="C13" s="116" t="s">
        <v>33</v>
      </c>
      <c r="D13" s="116" t="s">
        <v>58</v>
      </c>
      <c r="E13" s="116" t="s">
        <v>59</v>
      </c>
      <c r="F13" s="116" t="str">
        <f>+VLOOKUP(A13,'Estado SCI'!$A$16:$I$59,9,0)</f>
        <v>Mantenimiento del control</v>
      </c>
      <c r="G13" s="116">
        <f>+VLOOKUP(A13,'Estado SCI'!$A$16:$L$59,12,0)</f>
        <v>20.123456789123455</v>
      </c>
      <c r="H13" s="116">
        <f t="shared" si="0"/>
        <v>12</v>
      </c>
      <c r="I13" s="116" t="str">
        <f>+IF(VLOOKUP(A13,'Estado SCI'!$A$16:$G$59,7,0)="","",VLOOKUP(A13,'Estado SCI'!$A$16:$G$59,7,0))</f>
        <v>Si</v>
      </c>
      <c r="J13" s="117">
        <f t="shared" si="2"/>
        <v>1</v>
      </c>
      <c r="K13" s="118">
        <f t="shared" si="1"/>
        <v>0.95833333333333337</v>
      </c>
    </row>
    <row r="14" spans="1:11" ht="15" customHeight="1" x14ac:dyDescent="0.25">
      <c r="A14" s="116" t="s">
        <v>155</v>
      </c>
      <c r="B14" s="116" t="str">
        <f>+VLOOKUP(A14,'Estado SCI'!$A$16:$C$59,3,0)</f>
        <v>EVALUACION DEL RIESGO</v>
      </c>
      <c r="C14" s="116" t="s">
        <v>62</v>
      </c>
      <c r="D14" s="116" t="s">
        <v>34</v>
      </c>
      <c r="E14" s="116" t="s">
        <v>156</v>
      </c>
      <c r="F14" s="116" t="str">
        <f>+VLOOKUP(A14,'Estado SCI'!$A$16:$I$59,9,0)</f>
        <v>Mantenimiento del control</v>
      </c>
      <c r="G14" s="116">
        <f>+VLOOKUP(A14,'Estado SCI'!$A$16:$L$59,12,0)</f>
        <v>40.229999999999997</v>
      </c>
      <c r="H14" s="116">
        <f t="shared" si="0"/>
        <v>15</v>
      </c>
      <c r="I14" s="116" t="str">
        <f>+IF(VLOOKUP(A14,'Estado SCI'!$A$16:$G$59,7,0)="","",VLOOKUP(A14,'Estado SCI'!$A$16:$G$59,7,0))</f>
        <v>Si</v>
      </c>
      <c r="J14" s="117">
        <f t="shared" si="2"/>
        <v>1</v>
      </c>
      <c r="K14" s="118">
        <f t="shared" si="1"/>
        <v>0.9</v>
      </c>
    </row>
    <row r="15" spans="1:11" ht="15" customHeight="1" x14ac:dyDescent="0.25">
      <c r="A15" s="116" t="s">
        <v>157</v>
      </c>
      <c r="B15" s="116" t="s">
        <v>61</v>
      </c>
      <c r="C15" s="116" t="s">
        <v>62</v>
      </c>
      <c r="D15" s="116" t="s">
        <v>37</v>
      </c>
      <c r="E15" s="116" t="s">
        <v>158</v>
      </c>
      <c r="F15" s="116" t="str">
        <f>+VLOOKUP(A15,'Estado SCI'!$A$16:$I$59,9,0)</f>
        <v>Mantenimiento del control</v>
      </c>
      <c r="G15" s="116">
        <f>+VLOOKUP(A15,'Estado SCI'!$A$16:$L$59,12,0)</f>
        <v>40.234000000000002</v>
      </c>
      <c r="H15" s="116">
        <f t="shared" si="0"/>
        <v>16</v>
      </c>
      <c r="I15" s="116" t="str">
        <f>+IF(VLOOKUP(A15,'Estado SCI'!$A$16:$G$59,7,0)="","",VLOOKUP(A15,'Estado SCI'!$A$16:$G$59,7,0))</f>
        <v>Si</v>
      </c>
      <c r="J15" s="117">
        <f t="shared" si="2"/>
        <v>1</v>
      </c>
      <c r="K15" s="118">
        <f t="shared" si="1"/>
        <v>0.9</v>
      </c>
    </row>
    <row r="16" spans="1:11" ht="15" customHeight="1" x14ac:dyDescent="0.25">
      <c r="A16" s="116" t="s">
        <v>159</v>
      </c>
      <c r="B16" s="116" t="s">
        <v>61</v>
      </c>
      <c r="C16" s="116" t="s">
        <v>62</v>
      </c>
      <c r="D16" s="116" t="s">
        <v>40</v>
      </c>
      <c r="E16" s="116" t="s">
        <v>160</v>
      </c>
      <c r="F16" s="116" t="str">
        <f>+VLOOKUP(A16,'Estado SCI'!$A$16:$I$59,9,0)</f>
        <v>Mantenimiento del control</v>
      </c>
      <c r="G16" s="116">
        <f>+VLOOKUP(A16,'Estado SCI'!$A$16:$L$59,12,0)</f>
        <v>40.234499999999997</v>
      </c>
      <c r="H16" s="116">
        <f t="shared" si="0"/>
        <v>17</v>
      </c>
      <c r="I16" s="116" t="str">
        <f>+IF(VLOOKUP(A16,'Estado SCI'!$A$16:$G$59,7,0)="","",VLOOKUP(A16,'Estado SCI'!$A$16:$G$59,7,0))</f>
        <v>Si</v>
      </c>
      <c r="J16" s="117">
        <f t="shared" si="2"/>
        <v>1</v>
      </c>
      <c r="K16" s="118">
        <f t="shared" si="1"/>
        <v>0.9</v>
      </c>
    </row>
    <row r="17" spans="1:11" ht="15.75" customHeight="1" x14ac:dyDescent="0.25">
      <c r="A17" s="116" t="s">
        <v>161</v>
      </c>
      <c r="B17" s="116" t="s">
        <v>61</v>
      </c>
      <c r="C17" s="116" t="s">
        <v>62</v>
      </c>
      <c r="D17" s="116" t="s">
        <v>42</v>
      </c>
      <c r="E17" s="116" t="s">
        <v>66</v>
      </c>
      <c r="F17" s="116" t="str">
        <f>+VLOOKUP(A17,'Estado SCI'!$A$16:$I$59,9,0)</f>
        <v>Mantenimiento del control</v>
      </c>
      <c r="G17" s="116">
        <f>+VLOOKUP(A17,'Estado SCI'!$A$16:$L$59,12,0)</f>
        <v>40.234560000000002</v>
      </c>
      <c r="H17" s="116">
        <f t="shared" si="0"/>
        <v>18</v>
      </c>
      <c r="I17" s="116" t="str">
        <f>+IF(VLOOKUP(A17,'Estado SCI'!$A$16:$G$59,7,0)="","",VLOOKUP(A17,'Estado SCI'!$A$16:$G$59,7,0))</f>
        <v>Si</v>
      </c>
      <c r="J17" s="117">
        <f t="shared" si="2"/>
        <v>1</v>
      </c>
      <c r="K17" s="118">
        <f t="shared" si="1"/>
        <v>0.9</v>
      </c>
    </row>
    <row r="18" spans="1:11" ht="15" customHeight="1" x14ac:dyDescent="0.25">
      <c r="A18" s="116" t="s">
        <v>162</v>
      </c>
      <c r="B18" s="116" t="s">
        <v>61</v>
      </c>
      <c r="C18" s="116" t="s">
        <v>80</v>
      </c>
      <c r="D18" s="116" t="s">
        <v>34</v>
      </c>
      <c r="E18" s="116" t="s">
        <v>69</v>
      </c>
      <c r="F18" s="116" t="str">
        <f>+VLOOKUP(A18,'Estado SCI'!$A$16:$I$59,9,0)</f>
        <v>Mantenimiento del control</v>
      </c>
      <c r="G18" s="116">
        <f>+VLOOKUP(A18,'Estado SCI'!$A$16:$L$59,12,0)</f>
        <v>40.234566999999998</v>
      </c>
      <c r="H18" s="116">
        <f t="shared" si="0"/>
        <v>19</v>
      </c>
      <c r="I18" s="116" t="str">
        <f>+IF(VLOOKUP(A18,'Estado SCI'!$A$16:$G$59,7,0)="","",VLOOKUP(A18,'Estado SCI'!$A$16:$G$59,7,0))</f>
        <v>Si</v>
      </c>
      <c r="J18" s="117">
        <f t="shared" si="2"/>
        <v>1</v>
      </c>
      <c r="K18" s="118">
        <f t="shared" si="1"/>
        <v>0.9</v>
      </c>
    </row>
    <row r="19" spans="1:11" ht="15" customHeight="1" x14ac:dyDescent="0.25">
      <c r="A19" s="116" t="s">
        <v>163</v>
      </c>
      <c r="B19" s="116" t="s">
        <v>61</v>
      </c>
      <c r="C19" s="116" t="s">
        <v>80</v>
      </c>
      <c r="D19" s="116" t="s">
        <v>37</v>
      </c>
      <c r="E19" s="116" t="s">
        <v>70</v>
      </c>
      <c r="F19" s="116" t="str">
        <f>+VLOOKUP(A19,'Estado SCI'!$A$16:$I$59,9,0)</f>
        <v>Mantenimiento del control</v>
      </c>
      <c r="G19" s="116">
        <f>+VLOOKUP(A19,'Estado SCI'!$A$16:$L$59,12,0)</f>
        <v>40.234567800000001</v>
      </c>
      <c r="H19" s="116">
        <f t="shared" si="0"/>
        <v>20</v>
      </c>
      <c r="I19" s="116" t="str">
        <f>+IF(VLOOKUP(A19,'Estado SCI'!$A$16:$G$59,7,0)="","",VLOOKUP(A19,'Estado SCI'!$A$16:$G$59,7,0))</f>
        <v>Si</v>
      </c>
      <c r="J19" s="117">
        <f t="shared" si="2"/>
        <v>1</v>
      </c>
      <c r="K19" s="118">
        <f t="shared" si="1"/>
        <v>0.9</v>
      </c>
    </row>
    <row r="20" spans="1:11" ht="15" customHeight="1" x14ac:dyDescent="0.25">
      <c r="A20" s="116" t="s">
        <v>164</v>
      </c>
      <c r="B20" s="116" t="s">
        <v>61</v>
      </c>
      <c r="C20" s="116" t="s">
        <v>80</v>
      </c>
      <c r="D20" s="116" t="s">
        <v>40</v>
      </c>
      <c r="E20" s="116" t="s">
        <v>71</v>
      </c>
      <c r="F20" s="116" t="str">
        <f>+VLOOKUP(A20,'Estado SCI'!$A$16:$I$59,9,0)</f>
        <v>Mantenimiento del control</v>
      </c>
      <c r="G20" s="116">
        <f>+VLOOKUP(A20,'Estado SCI'!$A$16:$L$59,12,0)</f>
        <v>40.234567890000001</v>
      </c>
      <c r="H20" s="116">
        <f t="shared" si="0"/>
        <v>21</v>
      </c>
      <c r="I20" s="116" t="str">
        <f>+IF(VLOOKUP(A20,'Estado SCI'!$A$16:$G$59,7,0)="","",VLOOKUP(A20,'Estado SCI'!$A$16:$G$59,7,0))</f>
        <v>Si</v>
      </c>
      <c r="J20" s="117">
        <f t="shared" si="2"/>
        <v>1</v>
      </c>
      <c r="K20" s="118">
        <f t="shared" si="1"/>
        <v>0.9</v>
      </c>
    </row>
    <row r="21" spans="1:11" ht="15.75" customHeight="1" x14ac:dyDescent="0.25">
      <c r="A21" s="116" t="s">
        <v>165</v>
      </c>
      <c r="B21" s="116" t="s">
        <v>61</v>
      </c>
      <c r="C21" s="116" t="s">
        <v>80</v>
      </c>
      <c r="D21" s="116" t="s">
        <v>34</v>
      </c>
      <c r="E21" s="116" t="s">
        <v>74</v>
      </c>
      <c r="F21" s="116" t="str">
        <f>+VLOOKUP(A21,'Estado SCI'!$A$16:$I$59,9,0)</f>
        <v>Mantenimiento del control</v>
      </c>
      <c r="G21" s="116">
        <f>+VLOOKUP(A21,'Estado SCI'!$A$16:$L$59,12,0)</f>
        <v>40.234567891200001</v>
      </c>
      <c r="H21" s="116">
        <f t="shared" si="0"/>
        <v>22</v>
      </c>
      <c r="I21" s="116" t="str">
        <f>+IF(VLOOKUP(A21,'Estado SCI'!$A$16:$G$59,7,0)="","",VLOOKUP(A21,'Estado SCI'!$A$16:$G$59,7,0))</f>
        <v>Si</v>
      </c>
      <c r="J21" s="117">
        <f t="shared" si="2"/>
        <v>1</v>
      </c>
      <c r="K21" s="118">
        <f t="shared" si="1"/>
        <v>0.9</v>
      </c>
    </row>
    <row r="22" spans="1:11" ht="15" customHeight="1" x14ac:dyDescent="0.25">
      <c r="A22" s="116" t="s">
        <v>166</v>
      </c>
      <c r="B22" s="116" t="s">
        <v>61</v>
      </c>
      <c r="C22" s="116" t="s">
        <v>88</v>
      </c>
      <c r="D22" s="116" t="s">
        <v>37</v>
      </c>
      <c r="E22" s="116" t="s">
        <v>75</v>
      </c>
      <c r="F22" s="116" t="str">
        <f>+VLOOKUP(A22,'Estado SCI'!$A$16:$I$59,9,0)</f>
        <v>Oportunidad de mejora</v>
      </c>
      <c r="G22" s="116">
        <f>+VLOOKUP(A22,'Estado SCI'!$A$16:$L$59,12,0)</f>
        <v>30.23456789123</v>
      </c>
      <c r="H22" s="116">
        <f t="shared" si="0"/>
        <v>13</v>
      </c>
      <c r="I22" s="116" t="str">
        <f>+IF(VLOOKUP(A22,'Estado SCI'!$A$16:$G$59,7,0)="","",VLOOKUP(A22,'Estado SCI'!$A$16:$G$59,7,0))</f>
        <v>En proceso</v>
      </c>
      <c r="J22" s="117">
        <f t="shared" si="2"/>
        <v>0.5</v>
      </c>
      <c r="K22" s="118">
        <f t="shared" si="1"/>
        <v>0.9</v>
      </c>
    </row>
    <row r="23" spans="1:11" ht="15" customHeight="1" x14ac:dyDescent="0.25">
      <c r="A23" s="116" t="s">
        <v>167</v>
      </c>
      <c r="B23" s="116" t="s">
        <v>61</v>
      </c>
      <c r="C23" s="116" t="s">
        <v>88</v>
      </c>
      <c r="D23" s="116" t="s">
        <v>40</v>
      </c>
      <c r="E23" s="116" t="s">
        <v>77</v>
      </c>
      <c r="F23" s="116" t="str">
        <f>+VLOOKUP(A23,'Estado SCI'!$A$16:$I$59,9,0)</f>
        <v>Oportunidad de mejora</v>
      </c>
      <c r="G23" s="116">
        <f>+VLOOKUP(A23,'Estado SCI'!$A$16:$L$59,12,0)</f>
        <v>30.234567891234001</v>
      </c>
      <c r="H23" s="116">
        <f t="shared" si="0"/>
        <v>14</v>
      </c>
      <c r="I23" s="116" t="str">
        <f>+IF(VLOOKUP(A23,'Estado SCI'!$A$16:$G$59,7,0)="","",VLOOKUP(A23,'Estado SCI'!$A$16:$G$59,7,0))</f>
        <v>En proceso</v>
      </c>
      <c r="J23" s="117">
        <f t="shared" si="2"/>
        <v>0.5</v>
      </c>
      <c r="K23" s="118">
        <f t="shared" si="1"/>
        <v>0.9</v>
      </c>
    </row>
    <row r="24" spans="1:11" ht="15" customHeight="1" x14ac:dyDescent="0.25">
      <c r="A24" s="116" t="s">
        <v>168</v>
      </c>
      <c r="B24" s="116" t="str">
        <f>+VLOOKUP(A24,'Estado SCI'!$A$16:$C$59,3,0)</f>
        <v>ACTIVIDADES DE CONTROL</v>
      </c>
      <c r="C24" s="116" t="s">
        <v>88</v>
      </c>
      <c r="D24" s="116" t="s">
        <v>34</v>
      </c>
      <c r="E24" s="116" t="s">
        <v>81</v>
      </c>
      <c r="F24" s="116" t="str">
        <f>+VLOOKUP(A24,'Estado SCI'!$A$16:$I$59,9,0)</f>
        <v>Mantenimiento del control</v>
      </c>
      <c r="G24" s="116">
        <f>+VLOOKUP(A24,'Estado SCI'!$A$16:$L$59,12,0)</f>
        <v>60.31</v>
      </c>
      <c r="H24" s="116">
        <f t="shared" si="0"/>
        <v>24</v>
      </c>
      <c r="I24" s="116" t="str">
        <f>+IF(VLOOKUP(A24,'Estado SCI'!$A$16:$G$59,7,0)="","",VLOOKUP(A24,'Estado SCI'!$A$16:$G$59,7,0))</f>
        <v>Si</v>
      </c>
      <c r="J24" s="117">
        <f t="shared" si="2"/>
        <v>1</v>
      </c>
      <c r="K24" s="118">
        <f t="shared" si="1"/>
        <v>0.9</v>
      </c>
    </row>
    <row r="25" spans="1:11" ht="15" customHeight="1" x14ac:dyDescent="0.25">
      <c r="A25" s="116" t="s">
        <v>169</v>
      </c>
      <c r="B25" s="116" t="s">
        <v>79</v>
      </c>
      <c r="C25" s="116" t="s">
        <v>88</v>
      </c>
      <c r="D25" s="116" t="s">
        <v>37</v>
      </c>
      <c r="E25" s="116" t="s">
        <v>82</v>
      </c>
      <c r="F25" s="116" t="str">
        <f>+VLOOKUP(A25,'Estado SCI'!$A$16:$I$59,9,0)</f>
        <v>Oportunidad de mejora</v>
      </c>
      <c r="G25" s="116">
        <f>+VLOOKUP(A25,'Estado SCI'!$A$16:$L$59,12,0)</f>
        <v>50.323</v>
      </c>
      <c r="H25" s="116">
        <f t="shared" si="0"/>
        <v>23</v>
      </c>
      <c r="I25" s="116" t="str">
        <f>+IF(VLOOKUP(A25,'Estado SCI'!$A$16:$G$59,7,0)="","",VLOOKUP(A25,'Estado SCI'!$A$16:$G$59,7,0))</f>
        <v>En proceso</v>
      </c>
      <c r="J25" s="117">
        <f t="shared" si="2"/>
        <v>0.5</v>
      </c>
      <c r="K25" s="118">
        <f t="shared" si="1"/>
        <v>0.9</v>
      </c>
    </row>
    <row r="26" spans="1:11" ht="15" customHeight="1" x14ac:dyDescent="0.25">
      <c r="A26" s="116" t="s">
        <v>170</v>
      </c>
      <c r="B26" s="116" t="s">
        <v>79</v>
      </c>
      <c r="C26" s="116" t="s">
        <v>88</v>
      </c>
      <c r="D26" s="116" t="s">
        <v>40</v>
      </c>
      <c r="E26" s="116" t="s">
        <v>83</v>
      </c>
      <c r="F26" s="116" t="str">
        <f>+VLOOKUP(A26,'Estado SCI'!$A$16:$I$59,9,0)</f>
        <v>Mantenimiento del control</v>
      </c>
      <c r="G26" s="116">
        <f>+VLOOKUP(A26,'Estado SCI'!$A$16:$L$59,12,0)</f>
        <v>60.323999999999998</v>
      </c>
      <c r="H26" s="116">
        <f t="shared" si="0"/>
        <v>25</v>
      </c>
      <c r="I26" s="116" t="str">
        <f>+IF(VLOOKUP(A26,'Estado SCI'!$A$16:$G$59,7,0)="","",VLOOKUP(A26,'Estado SCI'!$A$16:$G$59,7,0))</f>
        <v>Si</v>
      </c>
      <c r="J26" s="117">
        <f t="shared" si="2"/>
        <v>1</v>
      </c>
      <c r="K26" s="118">
        <f t="shared" si="1"/>
        <v>0.9</v>
      </c>
    </row>
    <row r="27" spans="1:11" ht="15.75" customHeight="1" x14ac:dyDescent="0.25">
      <c r="A27" s="116" t="s">
        <v>171</v>
      </c>
      <c r="B27" s="116" t="s">
        <v>79</v>
      </c>
      <c r="C27" s="116" t="s">
        <v>88</v>
      </c>
      <c r="D27" s="116" t="s">
        <v>42</v>
      </c>
      <c r="E27" s="116" t="s">
        <v>84</v>
      </c>
      <c r="F27" s="116" t="str">
        <f>+VLOOKUP(A27,'Estado SCI'!$A$16:$I$59,9,0)</f>
        <v>Mantenimiento del control</v>
      </c>
      <c r="G27" s="116">
        <f>+VLOOKUP(A27,'Estado SCI'!$A$16:$L$59,12,0)</f>
        <v>60.325000000000003</v>
      </c>
      <c r="H27" s="116">
        <f t="shared" si="0"/>
        <v>26</v>
      </c>
      <c r="I27" s="116" t="str">
        <f>+IF(VLOOKUP(A27,'Estado SCI'!$A$16:$G$59,7,0)="","",VLOOKUP(A27,'Estado SCI'!$A$16:$G$59,7,0))</f>
        <v>Si</v>
      </c>
      <c r="J27" s="117">
        <f t="shared" si="2"/>
        <v>1</v>
      </c>
      <c r="K27" s="118">
        <f t="shared" si="1"/>
        <v>0.9</v>
      </c>
    </row>
    <row r="28" spans="1:11" ht="15" customHeight="1" x14ac:dyDescent="0.25">
      <c r="A28" s="116" t="s">
        <v>172</v>
      </c>
      <c r="B28" s="116" t="s">
        <v>79</v>
      </c>
      <c r="C28" s="116" t="s">
        <v>98</v>
      </c>
      <c r="D28" s="116" t="s">
        <v>44</v>
      </c>
      <c r="E28" s="116" t="s">
        <v>85</v>
      </c>
      <c r="F28" s="116" t="str">
        <f>+VLOOKUP(A28,'Estado SCI'!$A$16:$I$59,9,0)</f>
        <v>Mantenimiento del control</v>
      </c>
      <c r="G28" s="116">
        <f>+VLOOKUP(A28,'Estado SCI'!$A$16:$L$59,12,0)</f>
        <v>60.326000000000001</v>
      </c>
      <c r="H28" s="116">
        <f t="shared" si="0"/>
        <v>27</v>
      </c>
      <c r="I28" s="116" t="str">
        <f>+IF(VLOOKUP(A28,'Estado SCI'!$A$16:$G$59,7,0)="","",VLOOKUP(A28,'Estado SCI'!$A$16:$G$59,7,0))</f>
        <v>Si</v>
      </c>
      <c r="J28" s="117">
        <f t="shared" si="2"/>
        <v>1</v>
      </c>
      <c r="K28" s="118">
        <f t="shared" si="1"/>
        <v>0.9</v>
      </c>
    </row>
    <row r="29" spans="1:11" ht="15" customHeight="1" x14ac:dyDescent="0.25">
      <c r="A29" s="116" t="s">
        <v>173</v>
      </c>
      <c r="B29" s="116" t="str">
        <f>+VLOOKUP(A29,'Estado SCI'!$A$16:$C$59,3,0)</f>
        <v>INFORMACION Y COMUNICACIÓN</v>
      </c>
      <c r="C29" s="116" t="s">
        <v>98</v>
      </c>
      <c r="D29" s="116" t="s">
        <v>34</v>
      </c>
      <c r="E29" s="116" t="s">
        <v>89</v>
      </c>
      <c r="F29" s="116" t="str">
        <f>+VLOOKUP(A29,'Estado SCI'!$A$16:$I$59,9,0)</f>
        <v>Mantenimiento del control</v>
      </c>
      <c r="G29" s="116">
        <f>+VLOOKUP(A29,'Estado SCI'!$A$16:$L$59,12,0)</f>
        <v>80.412000000000006</v>
      </c>
      <c r="H29" s="116">
        <f t="shared" si="0"/>
        <v>29</v>
      </c>
      <c r="I29" s="116" t="str">
        <f>+IF(VLOOKUP(A29,'Estado SCI'!$A$16:$G$59,7,0)="","",VLOOKUP(A29,'Estado SCI'!$A$16:$G$59,7,0))</f>
        <v>Si</v>
      </c>
      <c r="J29" s="117">
        <f t="shared" si="2"/>
        <v>1</v>
      </c>
      <c r="K29" s="118">
        <f t="shared" si="1"/>
        <v>0.9285714285714286</v>
      </c>
    </row>
    <row r="30" spans="1:11" ht="15" customHeight="1" x14ac:dyDescent="0.25">
      <c r="A30" s="116" t="s">
        <v>174</v>
      </c>
      <c r="B30" s="116" t="s">
        <v>87</v>
      </c>
      <c r="C30" s="116" t="s">
        <v>98</v>
      </c>
      <c r="D30" s="116" t="s">
        <v>37</v>
      </c>
      <c r="E30" s="116" t="s">
        <v>90</v>
      </c>
      <c r="F30" s="116" t="str">
        <f>+VLOOKUP(A30,'Estado SCI'!$A$16:$I$59,9,0)</f>
        <v>Mantenimiento del control</v>
      </c>
      <c r="G30" s="116">
        <f>+VLOOKUP(A30,'Estado SCI'!$A$16:$L$59,12,0)</f>
        <v>80.412300000000002</v>
      </c>
      <c r="H30" s="116">
        <f t="shared" si="0"/>
        <v>30</v>
      </c>
      <c r="I30" s="116" t="str">
        <f>+IF(VLOOKUP(A30,'Estado SCI'!$A$16:$G$59,7,0)="","",VLOOKUP(A30,'Estado SCI'!$A$16:$G$59,7,0))</f>
        <v>Si</v>
      </c>
      <c r="J30" s="117">
        <f t="shared" si="2"/>
        <v>1</v>
      </c>
      <c r="K30" s="118">
        <f t="shared" si="1"/>
        <v>0.9285714285714286</v>
      </c>
    </row>
    <row r="31" spans="1:11" ht="15.75" customHeight="1" x14ac:dyDescent="0.25">
      <c r="A31" s="116" t="s">
        <v>175</v>
      </c>
      <c r="B31" s="116" t="s">
        <v>87</v>
      </c>
      <c r="C31" s="116" t="s">
        <v>98</v>
      </c>
      <c r="D31" s="116" t="s">
        <v>40</v>
      </c>
      <c r="E31" s="116" t="s">
        <v>91</v>
      </c>
      <c r="F31" s="116" t="str">
        <f>+VLOOKUP(A31,'Estado SCI'!$A$16:$I$59,9,0)</f>
        <v>Mantenimiento del control</v>
      </c>
      <c r="G31" s="116">
        <f>+VLOOKUP(A31,'Estado SCI'!$A$16:$L$59,12,0)</f>
        <v>80.41234</v>
      </c>
      <c r="H31" s="116">
        <f t="shared" si="0"/>
        <v>31</v>
      </c>
      <c r="I31" s="116" t="str">
        <f>+IF(VLOOKUP(A31,'Estado SCI'!$A$16:$G$59,7,0)="","",VLOOKUP(A31,'Estado SCI'!$A$16:$G$59,7,0))</f>
        <v>Si</v>
      </c>
      <c r="J31" s="117">
        <f t="shared" si="2"/>
        <v>1</v>
      </c>
      <c r="K31" s="118">
        <f t="shared" si="1"/>
        <v>0.9285714285714286</v>
      </c>
    </row>
    <row r="32" spans="1:11" x14ac:dyDescent="0.25">
      <c r="A32" s="116" t="s">
        <v>176</v>
      </c>
      <c r="B32" s="116" t="s">
        <v>87</v>
      </c>
      <c r="C32" s="116" t="s">
        <v>104</v>
      </c>
      <c r="D32" s="116" t="s">
        <v>42</v>
      </c>
      <c r="E32" s="116" t="s">
        <v>92</v>
      </c>
      <c r="F32" s="116" t="str">
        <f>+VLOOKUP(A32,'Estado SCI'!$A$16:$I$59,9,0)</f>
        <v>Mantenimiento del control</v>
      </c>
      <c r="G32" s="116">
        <f>+VLOOKUP(A32,'Estado SCI'!$A$16:$L$59,12,0)</f>
        <v>80.412345000000002</v>
      </c>
      <c r="H32" s="116">
        <f t="shared" si="0"/>
        <v>32</v>
      </c>
      <c r="I32" s="116" t="str">
        <f>+IF(VLOOKUP(A32,'Estado SCI'!$A$16:$G$59,7,0)="","",VLOOKUP(A32,'Estado SCI'!$A$16:$G$59,7,0))</f>
        <v>Si</v>
      </c>
      <c r="J32" s="117">
        <f t="shared" si="2"/>
        <v>1</v>
      </c>
      <c r="K32" s="118">
        <f t="shared" si="1"/>
        <v>0.9285714285714286</v>
      </c>
    </row>
    <row r="33" spans="1:11" x14ac:dyDescent="0.25">
      <c r="A33" s="116" t="s">
        <v>177</v>
      </c>
      <c r="B33" s="116" t="s">
        <v>87</v>
      </c>
      <c r="C33" s="116" t="s">
        <v>178</v>
      </c>
      <c r="D33" s="116" t="s">
        <v>44</v>
      </c>
      <c r="E33" s="116" t="s">
        <v>93</v>
      </c>
      <c r="F33" s="116" t="str">
        <f>+VLOOKUP(A33,'Estado SCI'!$A$16:$I$59,9,0)</f>
        <v>Mantenimiento del control</v>
      </c>
      <c r="G33" s="116">
        <f>+VLOOKUP(A33,'Estado SCI'!$A$16:$L$59,12,0)</f>
        <v>80.412345599999995</v>
      </c>
      <c r="H33" s="116">
        <f t="shared" si="0"/>
        <v>33</v>
      </c>
      <c r="I33" s="116" t="str">
        <f>+IF(VLOOKUP(A33,'Estado SCI'!$A$16:$G$59,7,0)="","",VLOOKUP(A33,'Estado SCI'!$A$16:$G$59,7,0))</f>
        <v>Si</v>
      </c>
      <c r="J33" s="117">
        <f t="shared" si="2"/>
        <v>1</v>
      </c>
      <c r="K33" s="118">
        <f t="shared" si="1"/>
        <v>0.9285714285714286</v>
      </c>
    </row>
    <row r="34" spans="1:11" x14ac:dyDescent="0.25">
      <c r="A34" s="116" t="s">
        <v>179</v>
      </c>
      <c r="B34" s="116" t="s">
        <v>87</v>
      </c>
      <c r="C34" s="116" t="s">
        <v>178</v>
      </c>
      <c r="D34" s="116" t="s">
        <v>46</v>
      </c>
      <c r="E34" s="116" t="s">
        <v>94</v>
      </c>
      <c r="F34" s="116" t="str">
        <f>+VLOOKUP(A34,'Estado SCI'!$A$16:$I$59,9,0)</f>
        <v>Mantenimiento del control</v>
      </c>
      <c r="G34" s="116">
        <f>+VLOOKUP(A34,'Estado SCI'!$A$16:$L$59,12,0)</f>
        <v>80.412345669999993</v>
      </c>
      <c r="H34" s="116">
        <f t="shared" si="0"/>
        <v>34</v>
      </c>
      <c r="I34" s="116" t="str">
        <f>+IF(VLOOKUP(A34,'Estado SCI'!$A$16:$G$59,7,0)="","",VLOOKUP(A34,'Estado SCI'!$A$16:$G$59,7,0))</f>
        <v>Si</v>
      </c>
      <c r="J34" s="117">
        <f t="shared" si="2"/>
        <v>1</v>
      </c>
      <c r="K34" s="118">
        <f t="shared" si="1"/>
        <v>0.9285714285714286</v>
      </c>
    </row>
    <row r="35" spans="1:11" x14ac:dyDescent="0.25">
      <c r="A35" s="116" t="s">
        <v>180</v>
      </c>
      <c r="B35" s="116" t="s">
        <v>87</v>
      </c>
      <c r="C35" s="116" t="s">
        <v>178</v>
      </c>
      <c r="D35" s="116" t="s">
        <v>48</v>
      </c>
      <c r="E35" s="116" t="s">
        <v>95</v>
      </c>
      <c r="F35" s="116" t="str">
        <f>+VLOOKUP(A35,'Estado SCI'!$A$16:$I$59,9,0)</f>
        <v>Oportunidad de mejora</v>
      </c>
      <c r="G35" s="116">
        <f>+VLOOKUP(A35,'Estado SCI'!$A$16:$L$59,12,0)</f>
        <v>70.412345677999994</v>
      </c>
      <c r="H35" s="116">
        <f t="shared" si="0"/>
        <v>28</v>
      </c>
      <c r="I35" s="116" t="str">
        <f>+IF(VLOOKUP(A35,'Estado SCI'!$A$16:$G$59,7,0)="","",VLOOKUP(A35,'Estado SCI'!$A$16:$G$59,7,0))</f>
        <v>En proceso</v>
      </c>
      <c r="J35" s="117">
        <f t="shared" si="2"/>
        <v>0.5</v>
      </c>
      <c r="K35" s="118">
        <f t="shared" si="1"/>
        <v>0.9285714285714286</v>
      </c>
    </row>
    <row r="36" spans="1:11" x14ac:dyDescent="0.25">
      <c r="A36" s="116" t="s">
        <v>181</v>
      </c>
      <c r="B36" s="116" t="str">
        <f>+VLOOKUP(A36,'Estado SCI'!$A$16:$C$59,3,0)</f>
        <v>ACTIVIDADES DE MONITOREO</v>
      </c>
      <c r="C36" s="116" t="s">
        <v>178</v>
      </c>
      <c r="D36" s="116" t="s">
        <v>34</v>
      </c>
      <c r="E36" s="116" t="s">
        <v>99</v>
      </c>
      <c r="F36" s="116" t="str">
        <f>+VLOOKUP(A36,'Estado SCI'!$A$16:$I$59,9,0)</f>
        <v>Mantenimiento del control</v>
      </c>
      <c r="G36" s="116">
        <f>+VLOOKUP(A36,'Estado SCI'!$A$16:$L$59,12,0)</f>
        <v>120.851</v>
      </c>
      <c r="H36" s="116">
        <f t="shared" si="0"/>
        <v>37</v>
      </c>
      <c r="I36" s="116" t="str">
        <f>+IF(VLOOKUP(A36,'Estado SCI'!$A$16:$G$59,7,0)="","",VLOOKUP(A36,'Estado SCI'!$A$16:$G$59,7,0))</f>
        <v>Si</v>
      </c>
      <c r="J36" s="117">
        <f t="shared" si="2"/>
        <v>1</v>
      </c>
      <c r="K36" s="118">
        <f t="shared" si="1"/>
        <v>0.85</v>
      </c>
    </row>
    <row r="37" spans="1:11" x14ac:dyDescent="0.25">
      <c r="A37" s="116" t="s">
        <v>182</v>
      </c>
      <c r="B37" s="116" t="s">
        <v>97</v>
      </c>
      <c r="C37" s="116" t="s">
        <v>178</v>
      </c>
      <c r="D37" s="116" t="s">
        <v>42</v>
      </c>
      <c r="E37" s="116" t="s">
        <v>100</v>
      </c>
      <c r="F37" s="116" t="str">
        <f>+VLOOKUP(A37,'Estado SCI'!$A$16:$I$59,9,0)</f>
        <v>Mantenimiento del control</v>
      </c>
      <c r="G37" s="116">
        <f>+VLOOKUP(A37,'Estado SCI'!$A$16:$L$59,12,0)</f>
        <v>120.85120000000001</v>
      </c>
      <c r="H37" s="116">
        <f t="shared" si="0"/>
        <v>38</v>
      </c>
      <c r="I37" s="116" t="str">
        <f>+IF(VLOOKUP(A37,'Estado SCI'!$A$16:$G$59,7,0)="","",VLOOKUP(A37,'Estado SCI'!$A$16:$G$59,7,0))</f>
        <v>Si</v>
      </c>
      <c r="J37" s="117">
        <f t="shared" si="2"/>
        <v>1</v>
      </c>
      <c r="K37" s="118">
        <f t="shared" si="1"/>
        <v>0.85</v>
      </c>
    </row>
    <row r="38" spans="1:11" x14ac:dyDescent="0.25">
      <c r="A38" s="116" t="s">
        <v>183</v>
      </c>
      <c r="B38" s="116" t="s">
        <v>97</v>
      </c>
      <c r="C38" s="116" t="s">
        <v>68</v>
      </c>
      <c r="D38" s="116" t="s">
        <v>46</v>
      </c>
      <c r="E38" s="116" t="s">
        <v>101</v>
      </c>
      <c r="F38" s="116" t="str">
        <f>+VLOOKUP(A38,'Estado SCI'!$A$16:$I$59,9,0)</f>
        <v>Mantenimiento del control</v>
      </c>
      <c r="G38" s="116">
        <f>+VLOOKUP(A38,'Estado SCI'!$A$16:$L$59,12,0)</f>
        <v>120.85123</v>
      </c>
      <c r="H38" s="116">
        <f t="shared" si="0"/>
        <v>39</v>
      </c>
      <c r="I38" s="116" t="str">
        <f>+IF(VLOOKUP(A38,'Estado SCI'!$A$16:$G$59,7,0)="","",VLOOKUP(A38,'Estado SCI'!$A$16:$G$59,7,0))</f>
        <v>Si</v>
      </c>
      <c r="J38" s="117">
        <f t="shared" si="2"/>
        <v>1</v>
      </c>
      <c r="K38" s="118">
        <f t="shared" si="1"/>
        <v>0.85</v>
      </c>
    </row>
    <row r="39" spans="1:11" x14ac:dyDescent="0.25">
      <c r="A39" s="116" t="s">
        <v>184</v>
      </c>
      <c r="B39" s="116" t="s">
        <v>97</v>
      </c>
      <c r="C39" s="116" t="s">
        <v>68</v>
      </c>
      <c r="D39" s="116" t="s">
        <v>48</v>
      </c>
      <c r="E39" s="116" t="s">
        <v>102</v>
      </c>
      <c r="F39" s="116" t="str">
        <f>+VLOOKUP(A39,'Estado SCI'!$A$16:$I$59,9,0)</f>
        <v>Mantenimiento del control</v>
      </c>
      <c r="G39" s="116">
        <f>+VLOOKUP(A39,'Estado SCI'!$A$16:$L$59,12,0)</f>
        <v>120.85123400000001</v>
      </c>
      <c r="H39" s="116">
        <f t="shared" si="0"/>
        <v>40</v>
      </c>
      <c r="I39" s="116" t="str">
        <f>+IF(VLOOKUP(A39,'Estado SCI'!$A$16:$G$59,7,0)="","",VLOOKUP(A39,'Estado SCI'!$A$16:$G$59,7,0))</f>
        <v>Si</v>
      </c>
      <c r="J39" s="117">
        <f t="shared" si="2"/>
        <v>1</v>
      </c>
      <c r="K39" s="118">
        <f t="shared" si="1"/>
        <v>0.85</v>
      </c>
    </row>
    <row r="40" spans="1:11" x14ac:dyDescent="0.25">
      <c r="A40" s="116" t="s">
        <v>185</v>
      </c>
      <c r="B40" s="116" t="s">
        <v>97</v>
      </c>
      <c r="C40" s="116" t="s">
        <v>68</v>
      </c>
      <c r="D40" s="116" t="s">
        <v>50</v>
      </c>
      <c r="E40" s="116" t="s">
        <v>105</v>
      </c>
      <c r="F40" s="116" t="str">
        <f>+VLOOKUP(A40,'Estado SCI'!$A$16:$I$59,9,0)</f>
        <v>Deficiencia de control</v>
      </c>
      <c r="G40" s="116">
        <f>+VLOOKUP(A40,'Estado SCI'!$A$16:$L$59,12,0)</f>
        <v>80.851234500000004</v>
      </c>
      <c r="H40" s="116">
        <f t="shared" si="0"/>
        <v>35</v>
      </c>
      <c r="I40" s="116" t="str">
        <f>+IF(VLOOKUP(A40,'Estado SCI'!$A$16:$G$59,7,0)="","",VLOOKUP(A40,'Estado SCI'!$A$16:$G$59,7,0))</f>
        <v>No</v>
      </c>
      <c r="J40" s="117">
        <f t="shared" si="2"/>
        <v>0</v>
      </c>
      <c r="K40" s="118">
        <f t="shared" si="1"/>
        <v>0.85</v>
      </c>
    </row>
    <row r="41" spans="1:11" x14ac:dyDescent="0.25">
      <c r="A41" s="116" t="s">
        <v>186</v>
      </c>
      <c r="B41" s="116" t="s">
        <v>97</v>
      </c>
      <c r="C41" s="116" t="s">
        <v>68</v>
      </c>
      <c r="D41" s="116" t="s">
        <v>34</v>
      </c>
      <c r="E41" s="116" t="s">
        <v>108</v>
      </c>
      <c r="F41" s="116" t="str">
        <f>+VLOOKUP(A41,'Estado SCI'!$A$16:$I$59,9,0)</f>
        <v>Mantenimiento del control</v>
      </c>
      <c r="G41" s="116">
        <f>+VLOOKUP(A41,'Estado SCI'!$A$16:$L$59,12,0)</f>
        <v>120.85123455999999</v>
      </c>
      <c r="H41" s="116">
        <f t="shared" si="0"/>
        <v>41</v>
      </c>
      <c r="I41" s="116" t="str">
        <f>+IF(VLOOKUP(A41,'Estado SCI'!$A$16:$G$59,7,0)="","",VLOOKUP(A41,'Estado SCI'!$A$16:$G$59,7,0))</f>
        <v>Si</v>
      </c>
      <c r="J41" s="117">
        <f t="shared" si="2"/>
        <v>1</v>
      </c>
      <c r="K41" s="118">
        <f t="shared" si="1"/>
        <v>0.85</v>
      </c>
    </row>
    <row r="42" spans="1:11" x14ac:dyDescent="0.25">
      <c r="A42" s="116" t="s">
        <v>187</v>
      </c>
      <c r="B42" s="116" t="s">
        <v>97</v>
      </c>
      <c r="C42" s="116" t="s">
        <v>73</v>
      </c>
      <c r="D42" s="116" t="s">
        <v>37</v>
      </c>
      <c r="E42" s="116" t="s">
        <v>109</v>
      </c>
      <c r="F42" s="116" t="str">
        <f>+VLOOKUP(A42,'Estado SCI'!$A$16:$I$59,9,0)</f>
        <v>Mantenimiento del control</v>
      </c>
      <c r="G42" s="116">
        <f>+VLOOKUP(A42,'Estado SCI'!$A$16:$L$59,12,0)</f>
        <v>120.85123456700001</v>
      </c>
      <c r="H42" s="116">
        <f t="shared" si="0"/>
        <v>42</v>
      </c>
      <c r="I42" s="116" t="str">
        <f>+IF(VLOOKUP(A42,'Estado SCI'!$A$16:$G$59,7,0)="","",VLOOKUP(A42,'Estado SCI'!$A$16:$G$59,7,0))</f>
        <v>Si</v>
      </c>
      <c r="J42" s="117">
        <f t="shared" si="2"/>
        <v>1</v>
      </c>
      <c r="K42" s="118">
        <f t="shared" si="1"/>
        <v>0.85</v>
      </c>
    </row>
    <row r="43" spans="1:11" x14ac:dyDescent="0.25">
      <c r="A43" s="116" t="s">
        <v>188</v>
      </c>
      <c r="B43" s="116" t="s">
        <v>97</v>
      </c>
      <c r="C43" s="116" t="s">
        <v>73</v>
      </c>
      <c r="D43" s="116" t="s">
        <v>40</v>
      </c>
      <c r="E43" s="116" t="s">
        <v>110</v>
      </c>
      <c r="F43" s="116" t="str">
        <f>+VLOOKUP(A43,'Estado SCI'!$A$16:$I$59,9,0)</f>
        <v>Mantenimiento del control</v>
      </c>
      <c r="G43" s="116">
        <f>+VLOOKUP(A43,'Estado SCI'!$A$16:$L$59,12,0)</f>
        <v>120.85123456780001</v>
      </c>
      <c r="H43" s="116">
        <f t="shared" si="0"/>
        <v>43</v>
      </c>
      <c r="I43" s="116" t="str">
        <f>+IF(VLOOKUP(A43,'Estado SCI'!$A$16:$G$59,7,0)="","",VLOOKUP(A43,'Estado SCI'!$A$16:$G$59,7,0))</f>
        <v>Si</v>
      </c>
      <c r="J43" s="117">
        <f t="shared" si="2"/>
        <v>1</v>
      </c>
      <c r="K43" s="118">
        <f t="shared" si="1"/>
        <v>0.85</v>
      </c>
    </row>
    <row r="44" spans="1:11" x14ac:dyDescent="0.25">
      <c r="A44" s="116" t="s">
        <v>189</v>
      </c>
      <c r="B44" s="116" t="s">
        <v>97</v>
      </c>
      <c r="C44" s="116" t="s">
        <v>73</v>
      </c>
      <c r="D44" s="116" t="s">
        <v>42</v>
      </c>
      <c r="E44" s="116" t="s">
        <v>111</v>
      </c>
      <c r="F44" s="116" t="str">
        <f>+VLOOKUP(A44,'Estado SCI'!$A$16:$I$59,9,0)</f>
        <v>Oportunidad de mejora</v>
      </c>
      <c r="G44" s="116">
        <f>+VLOOKUP(A44,'Estado SCI'!$A$16:$L$59,12,0)</f>
        <v>100.85123456789</v>
      </c>
      <c r="H44" s="116">
        <f t="shared" si="0"/>
        <v>36</v>
      </c>
      <c r="I44" s="116" t="str">
        <f>+IF(VLOOKUP(A44,'Estado SCI'!$A$16:$G$59,7,0)="","",VLOOKUP(A44,'Estado SCI'!$A$16:$G$59,7,0))</f>
        <v>En proceso</v>
      </c>
      <c r="J44" s="117">
        <f t="shared" si="2"/>
        <v>0.5</v>
      </c>
      <c r="K44" s="118">
        <f t="shared" si="1"/>
        <v>0.85</v>
      </c>
    </row>
    <row r="45" spans="1:11" x14ac:dyDescent="0.25">
      <c r="A45" s="116" t="s">
        <v>190</v>
      </c>
      <c r="B45" s="116" t="s">
        <v>97</v>
      </c>
      <c r="C45" s="116" t="s">
        <v>73</v>
      </c>
      <c r="D45" s="116" t="s">
        <v>44</v>
      </c>
      <c r="E45" s="116" t="s">
        <v>112</v>
      </c>
      <c r="F45" s="116" t="str">
        <f>+VLOOKUP(A45,'Estado SCI'!$A$16:$I$59,9,0)</f>
        <v>Mantenimiento del control</v>
      </c>
      <c r="G45" s="116">
        <f>+VLOOKUP(A45,'Estado SCI'!$A$16:$L$59,12,0)</f>
        <v>120.851234567891</v>
      </c>
      <c r="H45" s="116">
        <f t="shared" si="0"/>
        <v>44</v>
      </c>
      <c r="I45" s="116" t="str">
        <f>+IF(VLOOKUP(A45,'Estado SCI'!$A$16:$G$59,7,0)="","",VLOOKUP(A45,'Estado SCI'!$A$16:$G$59,7,0))</f>
        <v>Si</v>
      </c>
      <c r="J45" s="117">
        <f t="shared" si="2"/>
        <v>1</v>
      </c>
      <c r="K45" s="118">
        <f t="shared" si="1"/>
        <v>0.85</v>
      </c>
    </row>
  </sheetData>
  <sheetProtection algorithmName="SHA-512" hashValue="eXgkKlTi9xJKAI7t6Aeb2RaFpkfyF43pI2BIhtxDc7hsl0SqLK8I4Wc7jbZwC5kw3uyIHOBIUXRnh5cC70LKYA==" saltValue="AxKzX6Ar80vT7acQV8rFpQ==" spinCount="100000" sheet="1" objects="1" scenarios="1" selectLockedCells="1"/>
  <autoFilter ref="A1:K45" xr:uid="{00000000-0009-0000-0000-000004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Instructivo</vt:lpstr>
      <vt:lpstr>Estado SCI</vt:lpstr>
      <vt:lpstr>Análisis Resultados</vt:lpstr>
      <vt:lpstr>Conclusión</vt:lpstr>
      <vt:lpstr>Hoja1</vt:lpstr>
      <vt:lpstr>Conclusión!Títulos_a_imprimir</vt:lpstr>
      <vt:lpstr>'Estado SCI'!Títulos_a_imprimir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Sala Juntas Piso 6</dc:creator>
  <cp:keywords/>
  <dc:description/>
  <cp:lastModifiedBy>Maria Enidia Rios Naranjo</cp:lastModifiedBy>
  <cp:revision/>
  <cp:lastPrinted>2026-04-10T12:08:24Z</cp:lastPrinted>
  <dcterms:created xsi:type="dcterms:W3CDTF">2020-04-28T13:58:09Z</dcterms:created>
  <dcterms:modified xsi:type="dcterms:W3CDTF">2026-07-03T20:59:42Z</dcterms:modified>
  <cp:category/>
  <cp:contentStatus/>
</cp:coreProperties>
</file>