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roman\OneDrive\Escritorio\TELECAFE 2026 CONTROL INTERNO\3 INFORME PORMENORIZADO 2025\2025\JULIO A DICIEMBRE\"/>
    </mc:Choice>
  </mc:AlternateContent>
  <xr:revisionPtr revIDLastSave="0" documentId="13_ncr:1_{132A8462-08D1-4509-B87A-D8D98D3A5BAE}" xr6:coauthVersionLast="47" xr6:coauthVersionMax="47" xr10:uidLastSave="{00000000-0000-0000-0000-000000000000}"/>
  <bookViews>
    <workbookView xWindow="-120" yWindow="-120" windowWidth="20730" windowHeight="110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 name="_xlnm.Print_Titles" localSheetId="3">Conclusión!$24:$24</definedName>
    <definedName name="_xlnm.Print_Titles" localSheetId="1">'Estado SCI'!$14:$15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<sst xmlns="http://schemas.openxmlformats.org/spreadsheetml/2006/main" count="514" uniqueCount="245">
  <si>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</si>
  <si>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</si>
  <si>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</si>
  <si>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</si>
  <si>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</si>
  <si>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</si>
  <si>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</si>
  <si>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</si>
  <si>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</si>
  <si>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</si>
  <si>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</si>
  <si>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</si>
  <si>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</si>
  <si>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</si>
  <si>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</si>
  <si>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</si>
  <si>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</si>
  <si>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</si>
  <si>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</si>
  <si>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</si>
  <si>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</si>
  <si>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</si>
  <si>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</si>
  <si>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</si>
  <si>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</si>
  <si>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</si>
  <si>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</si>
  <si>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</si>
  <si>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</si>
  <si>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</si>
  <si>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</si>
  <si>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</si>
  <si>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</si>
  <si>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</si>
  <si>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</si>
  <si>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</si>
  <si>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</si>
  <si>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</si>
  <si>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</si>
  <si>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</si>
  <si>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</si>
  <si>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</si>
  <si>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</si>
  <si>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</si>
  <si>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</si>
  <si>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</si>
  <si>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</si>
  <si>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</si>
  <si>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</si>
  <si>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</si>
  <si>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</si>
  <si>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</si>
  <si>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</si>
  <si>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</si>
  <si>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</si>
  <si>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</si>
  <si>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</si>
  <si>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</si>
  <si>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</si>
  <si>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</si>
  <si>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</si>
  <si>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</si>
  <si>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</si>
  <si>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</si>
  <si>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</si>
  <si>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</si>
  <si>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</si>
  <si>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</si>
  <si>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</si>
  <si>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</si>
  <si>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</si>
  <si>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</si>
  <si>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</si>
  <si>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</si>
  <si>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</si>
  <si>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</si>
  <si>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</si>
  <si>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</si>
  <si>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</si>
  <si>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</si>
  <si>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</si>
  <si>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</si>
  <si>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</si>
  <si>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</si>
  <si>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</si>
  <si>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</si>
  <si>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</si>
  <si>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</si>
  <si>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</si>
  <si>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</si>
  <si>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</si>
  <si>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</si>
  <si>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</si>
  <si>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</si>
  <si>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</si>
  <si>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</si>
  <si>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</si>
  <si>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</si>
  <si>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</si>
  <si>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</si>
  <si>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</si>
  <si>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</si>
  <si>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</si>
  <si>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</si>
  <si>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</si>
  <si>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</si>
  <si>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</si>
  <si>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</si>
  <si>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</si>
  <si>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</si>
  <si>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</si>
  <si>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</si>
  <si>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</si>
  <si>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</si>
  <si>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</si>
  <si>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</si>
  <si>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</si>
  <si>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</si>
  <si>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</si>
  <si>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</si>
  <si>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</si>
  <si>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</si>
  <si>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</si>
  <si>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</si>
  <si>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</si>
  <si>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</si>
  <si>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</si>
  <si>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</si>
  <si>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</si>
  <si>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</si>
  <si>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</si>
  <si>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</si>
  <si>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</si>
  <si>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</si>
  <si>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</si>
  <si>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</si>
  <si>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</si>
  <si>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</si>
  <si>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</si>
  <si>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</si>
  <si>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</si>
  <si>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</si>
  <si>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</si>
  <si>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</si>
  <si>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</si>
  <si>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</si>
  <si>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</si>
  <si>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</si>
  <si>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</si>
  <si>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</si>
  <si>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</si>
  <si>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</si>
  <si>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</si>
  <si>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</si>
  <si>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</si>
  <si>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</si>
  <si>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</si>
  <si>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</si>
  <si>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</si>
  <si>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</si>
  <si>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</si>
  <si>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</si>
  <si>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</si>
  <si>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</si>
  <si>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</si>
  <si>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</si>
  <si>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</si>
  <si>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</si>
  <si>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</si>
  <si>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</si>
  <si>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</si>
  <si>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</si>
  <si>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</si>
  <si>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</si>
  <si>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</si>
  <si>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</si>
  <si>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</si>
  <si>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</si>
  <si>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</si>
  <si>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</si>
  <si>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</si>
  <si>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</si>
  <si>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</si>
  <si>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</si>
  <si>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</si>
  <si>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</si>
  <si>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</si>
  <si>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</si>
  <si>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</si>
  <si>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</si>
  <si>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</si>
  <si>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SOCIEDAD DE TELEVISION DE CALDAS, QUINDIO Y RISARALDA TELECAFE LTDA</t>
  </si>
  <si>
    <t xml:space="preserve">Se tiene claramente identificada la información para la operación de la entidad  </t>
  </si>
  <si>
    <t>Se cuenta con el espacio dentro del comité institucional de control interno</t>
  </si>
  <si>
    <t xml:space="preserve">No se pertecene al comité municipal de auditoría </t>
  </si>
  <si>
    <t xml:space="preserve">No se encontraron acciones documentadas </t>
  </si>
  <si>
    <t xml:space="preserve">Basado en la nueva metodología para la determinación y valoración de riesgos, la misma aun no cuenta con seguimiento a la efectividad de los controles </t>
  </si>
  <si>
    <t xml:space="preserve">Se realiza de manera constante seguimiento a los planes de mejoramiento con organismos de control, en relación con los planes de mejoramiento de los procesos producto de auditorías internas, los mismos no son proyectados oportunamente por los procesos  </t>
  </si>
  <si>
    <t xml:space="preserve">Se hacen los procesos de rendición de manera oportuna a las autoridades competentes por parte de cada una de las áreas responsable de los mismos </t>
  </si>
  <si>
    <t>Se encuentra formalizada la estructura organizacional de TELECAFE LTDA, aunque es importante aclarar que conforme a resultados de estudios y auditorias internas precedentes, la estructura organizacional de la entidad presenta algunas debilidades en cuanto a la clasificación de los empleados públicos y los trabajadores oficiales.</t>
  </si>
  <si>
    <t xml:space="preserve">El sector de televisión ha tenido importantes cambios los cuales han diversificado la industria audiovisual, por lo que las herramientas de planeación estan en proceso constante de revisión. Los nuevos mecanismos de planeacion para la vigencia 2024-2027 contiene estrategias que obedecen a esa constante revisión.  </t>
  </si>
  <si>
    <t>Las deficiencias en los controles son expuestas en el marco de los diferentes comités institucionales</t>
  </si>
  <si>
    <t xml:space="preserve">En la planeación institucional se cuenta con el responsable de cada proceso </t>
  </si>
  <si>
    <t>Se consolidó y publicó la matriz de la información que tiene carácter reservado https://telecafe.gov.co/transparencia/7-Datos-abiertos/7-1-Instrumentos-de-gestion/Indice-de-Informacion-Clasificada-y-Reservada-de-Telecafe.PDF</t>
  </si>
  <si>
    <t>Con el área de planeación se acompaña la implementación de la política de riesgos del canal y el mapa de riesgos por procesos, aplicando la metodologia DAFP</t>
  </si>
  <si>
    <t>Las actividades de control presentan un nivel de cumplimiento del 70% y sus fortalezas estan en:
~ Determinación de el riesgo de corrupción;
~ Existencia de un plan anticorrupción y de atención al ciudadano debidamente publicado
En relación a las debilidades: 
~ Existencia de un mapa de riesgos institucional sin acciones asociadas;
~ Mecanismos de verificación para saber si se estan mitigando o no riesgos;
~ Planes de acción para subsanar las consecuencias de la materialización de riesgos.</t>
  </si>
  <si>
    <t>El sistema de control interno de TELECAFE es efectivo en cuanto a los diferentes componentes evaluados, esto se puede confirmar en el seguimiento realizado a diferentes herramientas como los comités institucionales que no solo pasaron por su creación sino tambien por la identificacion de sus responsabilidades y por las reuniones de seguimiento para validar y socializar sus resultados.</t>
  </si>
  <si>
    <r>
      <t>TELECAFÉ LTDA cuenta con la Resolución 177 de mayo de 2018 por medio de la cual se adopta el Modelo Integrado de Planeación y Gestión -MIPG- en la Sociedad de Televisión de Caldas, Risaralda y Quindío Ltda Telecafé Ltda a través de su artículo noveno "Responsables del Sistema Institucional de Control Interno" se establecen las líneas estratégicas y de defensa del canal "</t>
    </r>
    <r>
      <rPr>
        <i/>
        <sz val="16"/>
        <color theme="1"/>
        <rFont val="Arial"/>
        <family val="2"/>
      </rPr>
      <t>conformada por el Gerente de Telecafé, Coordinadores de Área (líderes de procesos) y servidores públicos responsables de diseñar, mantener, garantizar el establecimiento del Sistema Institucional de Control Interno, proveer los recursos necesarios para su implementación, evaluar el cumplimiento de los objetivos y asegurar la mejora continua del desempeño de la entidad.</t>
    </r>
    <r>
      <rPr>
        <sz val="16"/>
        <color theme="1"/>
        <rFont val="Arial"/>
        <family val="2"/>
      </rPr>
      <t xml:space="preserve">" </t>
    </r>
  </si>
  <si>
    <r>
      <t xml:space="preserve">Las actividades de monitoreo presentaron un cumplimiento del 70% así:
</t>
    </r>
    <r>
      <rPr>
        <b/>
        <sz val="16"/>
        <rFont val="Arial"/>
        <family val="2"/>
      </rPr>
      <t>Fortalezas</t>
    </r>
    <r>
      <rPr>
        <sz val="16"/>
        <rFont val="Arial"/>
        <family val="2"/>
      </rPr>
      <t xml:space="preserve">: ~ Mecanismos de evaluación de la gestión;
~ Mecanismos de monitoreo del sistema de control interno institucional; 
</t>
    </r>
    <r>
      <rPr>
        <b/>
        <sz val="16"/>
        <rFont val="Arial"/>
        <family val="2"/>
      </rPr>
      <t>Debilidades</t>
    </r>
    <r>
      <rPr>
        <sz val="16"/>
        <rFont val="Arial"/>
        <family val="2"/>
      </rPr>
      <t>: ~ Medidas correctivas en caso de detectarse deficiencias
~ Seguimiento a planes de mejoramiento
~ Control de los puntos críticos en los procesos
~ Diseño de acciones para control de problemas
~ Ejecución de acciones de acuerdo a como se diseñaron previamente</t>
    </r>
  </si>
  <si>
    <t>Resolución No. 177 de 2018 "Por medio de la cual se Adopta el Modelo Integrado de Planeación y Gestión – MIPG –</t>
  </si>
  <si>
    <t>Código de integridad - Resolución 246 de noviembre 30 de 2021</t>
  </si>
  <si>
    <t>Documento "Plan de acción 2024-2027" con objetivos, metas e indicadores de medición.</t>
  </si>
  <si>
    <t>Manual de funciones y competencias, actualizado el 14 de octubre de 2025, sigue presentando deficiencias, pues se incluyen trabajadores oficiales, que no son regidos por este tipo de herramientas</t>
  </si>
  <si>
    <t>En el canal TELECAFE se cuenta con cargos de planta  correspondiente a trabajadores oficiales  y empleados públicos de libre nombramiento y remoción</t>
  </si>
  <si>
    <t>Los procesos de inducción, reinducción, capacitacion y bienestar se llevan a cabo desde el proceso de gestión humana y administrativa, para el II semestre 2025 se cuenta con: 
Plan de capacitación y bienestar social 
Plan de inducción - manual de inducción y reinducción 2025
 Plan y cronograma de formación 2025
 Plan de bienestar 2025</t>
  </si>
  <si>
    <t>Se hace y se  consolida el informe de gestion y se publica en pagina web</t>
  </si>
  <si>
    <t>Para el II semestre de 2025 se encuentran  consolidados el mapas de riesgos por procesos</t>
  </si>
  <si>
    <t xml:space="preserve">Para la vigencia 2025 el mapa de riesgos de corrupciónes es una herramienta para el analisis de posibles riesgos de corrpcion </t>
  </si>
  <si>
    <t xml:space="preserve">En el mapa de riesgos por procesos  se tienen identificados este tipo de riesgos en el proceso de tecnología e innovación, </t>
  </si>
  <si>
    <t>Los informes se presentan en el marco de los diferentes comites institucionales</t>
  </si>
  <si>
    <t>La mayoria de acciones de mejora documentadas estan relacionadas con informes de entes de control externo,</t>
  </si>
  <si>
    <t xml:space="preserve">El mapa de riesgos tiene dentro de su formato un espacio para los planes de acción para 2025, aun se esta en proceso de consolidación. </t>
  </si>
  <si>
    <t xml:space="preserve">Se cuenta con el mapa de riesgos de corrupción establecido para 2025 </t>
  </si>
  <si>
    <t>El programa de transparencia y etica pública  2025.del primer semestres  esta efectivamente comunicado a los lideres de proceso con el fin de que sean ellos quienes socialicen con sus equipos de trabajo esta herramienta.</t>
  </si>
  <si>
    <t>Todos los procesos tienen sus responsabilidades claras al respecto del cumplimiento de reportes con las diferentes entidades solicitantes</t>
  </si>
  <si>
    <t>Se tiene claramente establecida la información con destino a organismos de control y entes gubernamentales</t>
  </si>
  <si>
    <r>
      <t xml:space="preserve">TELECAFE cuenta con el software para la gestion documental </t>
    </r>
    <r>
      <rPr>
        <sz val="11"/>
        <rFont val="Arial Narrow"/>
        <family val="2"/>
      </rPr>
      <t>ADMIARCHI,</t>
    </r>
    <r>
      <rPr>
        <sz val="11"/>
        <color theme="1"/>
        <rFont val="Arial Narrow"/>
        <family val="2"/>
      </rPr>
      <t xml:space="preserve"> aunque no todos los colaboradores estan capacitados para su uso permanente</t>
    </r>
  </si>
  <si>
    <t xml:space="preserve">Se hacen seguimiento a través de indicadores, cronogramas y en la revisión por la dirección </t>
  </si>
  <si>
    <t xml:space="preserve">Dentro de las auditorías y seguimientos realizados se comunican las deficiencias detectadas en tiempo real con el fin de procurar su corrección inmediata; también se socializan resultados en el comité coordinador del sistema de control interno </t>
  </si>
  <si>
    <t xml:space="preserve">Con la aplicación de la nueva metodologías de riesgos se pretende tener una herramienta de identificación de riesgos y aplicación de controles eficientes, </t>
  </si>
  <si>
    <t>Se tiene como base  el mapa de riesgos y procesos</t>
  </si>
  <si>
    <t>Este seguimiento se realiza por los líderes de proceso, los diferentes comites institucionales que se han creado han abierto este espacio de interacción,</t>
  </si>
  <si>
    <t>Durante el II semestre de 2025, se crearon diferentes espacios conforme a las temáticas de cada área</t>
  </si>
  <si>
    <t>En el marco de los diferentes comités institucionales durante el II semestre de 2025 se dieron a conocer diferentes acciones de cada área, existen aún debilidades en mejorar las nsituaciones de riesgo</t>
  </si>
  <si>
    <t>Los canales de comunicación se establecieron de manera clara a través del nuevo manual de comunicaciones, y la política de comunicaciones donde se exponen los medios que los ciudadanos disponen para su interaccion con la entidad.</t>
  </si>
  <si>
    <t>TELECAFE LTDA durante toda la vigencia 2025, presenta importantes avances en su sistema de control interno y su integración, , los dos semestres 2024 presentan una importante recuperacion:   II semestre 2023 68%, I semestre de 2024 74% ,  II semestre 2024 con 78%, I semesre de 2025 con 83%;  la calificación presentó tendencias al alza, se puede notar en resultados de componentes tales como "ambiente de control" y de "evaluacion de riesgos" que presentan un alto nivel de cumplimiento, semaforizados en color verde destacados por aspectos como la formalización de comités institucionales, su funcionalildad y seguimiento la planeación en la gestion del talento humano que pasa por la vinculación, inducción, evaluación de servidores, entre otros, en evaluación de riesgos la identificación y seguimiento de las situaciones que pueden afectar el cumplimiento de objetivos.
De otro lado en los componentes de actividades de control, información y comunicación, y actividades de monitoreo, han avanzado en su calificación producto de consolidación de herramientas como el mapa de riesgos de corrupción, la actualización y operativización del manual de comunicaciones y la atención especial en el mapa de riesgos institucional para su actualización</t>
  </si>
  <si>
    <r>
      <t>El ambiente de control presenta un nivel de cumplimiento del 96%</t>
    </r>
    <r>
      <rPr>
        <sz val="16"/>
        <color rgb="FFFF0000"/>
        <rFont val="Arial"/>
        <family val="2"/>
      </rPr>
      <t>.</t>
    </r>
    <r>
      <rPr>
        <sz val="16"/>
        <rFont val="Arial"/>
        <family val="2"/>
      </rPr>
      <t xml:space="preserve">
Esta calificacion esta precedida por varias fortalezas destacadas así: 
~ Un documento interno de adopción del MECI, 
~ Un documento de codigo de integridad, 
~ El plan de acción 2024-2027 que condensa objetivos y metas del canal,
~ El sistema integrado de gestión que documenta los procesos y procedimientos de la entidad,
~ El proceso de vinculación de personal de acuerdo al marco normativo para TELECAFE,
~ Un Plan Estratégico del Talento Humano que incluye los proceso de inducción, capacitación y bienestar social para los servidores públicos, los procesos de evaluación de competencias, procesos de desvinculación de servidores.
~ Un mecanismo de rendición de cuentas,
~ Presentación oportuna del informe de gestión. 
De otro lado tenemos situaciones en proceso de implementación y que generan retos de mejoramiento tales como:
~ La estructura organizacional formalizada, y
~ Una marcada debilidad se tiene con el manual de funciones, pues el mismo integra en un mismo documento los empleados públicos y los trabajadores oficiales, a pesar de su actualizacion en el segundo semestre de 2025</t>
    </r>
  </si>
  <si>
    <r>
      <t xml:space="preserve">El componente de información y comunicación presenta un nivel de cumplimiento del 93%, de donde se pueden destacatar las siguientes fortalezas y debilidades:
</t>
    </r>
    <r>
      <rPr>
        <b/>
        <sz val="16"/>
        <rFont val="Arial"/>
        <family val="2"/>
      </rPr>
      <t>Fortalezas:</t>
    </r>
    <r>
      <rPr>
        <sz val="16"/>
        <rFont val="Arial"/>
        <family val="2"/>
      </rPr>
      <t xml:space="preserve"> ~ Resposables de la información institucional;
~ Lineamiento para el tratamiento de información reservada;
~ Identificación de información para operación de la entidad.
</t>
    </r>
    <r>
      <rPr>
        <b/>
        <sz val="16"/>
        <rFont val="Arial"/>
        <family val="2"/>
      </rPr>
      <t>Debilidades:</t>
    </r>
    <r>
      <rPr>
        <sz val="16"/>
        <rFont val="Arial"/>
        <family val="2"/>
      </rPr>
      <t xml:space="preserve"> 
~ Identificación de información que se produce en el marco de su gestión
~ Infraestructura tecnológica de información y de comunicaciones que soporten los procesos</t>
    </r>
  </si>
  <si>
    <t>Julio a Diciembre de 2025</t>
  </si>
  <si>
    <t>No se gestionan los problemas que afectan el cumplimiento de las funciones y objetivos institucionales, pues solo se tiene proyectado el mapa de riesgos institucional para el segundo semestre de 2025</t>
  </si>
  <si>
    <t>TELECAFE cuenta con un sistema de gestión con procesos y procedimientos documentados y medibles que permiten conocer el estado general de la gestión del canal</t>
  </si>
  <si>
    <t xml:space="preserve"> Procedimientos internos para el proceso de desvinculacion ajustados a la ley desde la  desde el proceso de gestión humana y administrativa</t>
  </si>
  <si>
    <t xml:space="preserve">Se realiza evaluación de competencias conforme a los procedimientos, no aplica evaluacion de desempeño en los términos de la ley 909 de 2004; este proceso evaluativo no tiene en cuenta los resultados por áreas.
</t>
  </si>
  <si>
    <t xml:space="preserve">En la matriz de riesgos por procesos se expone en los formatos la posibilidad de establecer los planes de acción </t>
  </si>
  <si>
    <r>
      <t xml:space="preserve">El componente de evaluación del riesgo tiene una calificación del 100%, de donde se pueden destacatar las siguientes fortalezas y debilidades:
</t>
    </r>
    <r>
      <rPr>
        <b/>
        <sz val="16"/>
        <rFont val="Arial"/>
        <family val="2"/>
      </rPr>
      <t>Fortalezas:</t>
    </r>
    <r>
      <rPr>
        <sz val="16"/>
        <rFont val="Arial"/>
        <family val="2"/>
      </rPr>
      <t xml:space="preserve"> ~ La identificacion de riesgos relacionados con posibles actos de corrupción;
~ Creación de comités como espacios de socialización de para el manejo de problemas que afectan el sector;
~ Se tienen planes de mejoramiento producto de las intervenciones de organismos de control;
</t>
    </r>
    <r>
      <rPr>
        <b/>
        <sz val="16"/>
        <rFont val="Arial"/>
        <family val="2"/>
      </rPr>
      <t>Debilidades:</t>
    </r>
    <r>
      <rPr>
        <sz val="16"/>
        <rFont val="Arial"/>
        <family val="2"/>
      </rPr>
      <t xml:space="preserve"> ~ Análisis, identificación, valoración y seguimiento a los cambios que afecten el sector audiovisual en general, pero también a objetivos, planes, programas y proyectos particulares;
~ Identificación de riesgos asociados a tecnologías de información y comunicaciones;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</si>
</sst>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2"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6"/>
      <color theme="1"/>
      <name val="Arial"/>
      <family val="2"/>
    </font>
    <font>
      <b/>
      <sz val="22"/>
      <color theme="0"/>
      <name val="Arial Narrow"/>
      <family val="2"/>
    </font>
    <font>
      <i/>
      <sz val="16"/>
      <color theme="1"/>
      <name val="Arial"/>
      <family val="2"/>
    </font>
    <font>
      <sz val="16"/>
      <name val="Arial"/>
      <family val="2"/>
    </font>
    <font>
      <sz val="16"/>
      <color rgb="FFFF0000"/>
      <name val="Arial"/>
      <family val="2"/>
    </font>
    <font>
      <b/>
      <sz val="16"/>
      <name val="Arial"/>
      <family val="2"/>
    </font>
  </fonts>
  <fills count="1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theme="9" tint="-0.499984740745262"/>
      </top>
      <bottom style="thin">
        <color indexed="64"/>
      </bottom>
      <diagonal/>
    </border>
    <border>
      <left style="thin">
        <color indexed="64"/>
      </left>
      <right style="thin">
        <color indexed="64"/>
      </right>
      <top style="thin">
        <color indexed="64"/>
      </top>
      <bottom style="double">
        <color theme="9" tint="-0.499984740745262"/>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4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49" fontId="45" fillId="5" borderId="7" xfId="0" applyNumberFormat="1"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2" borderId="3" xfId="0" applyFont="1" applyFill="1" applyBorder="1" applyAlignment="1">
      <alignment horizontal="center" vertical="center" wrapText="1"/>
    </xf>
    <xf numFmtId="0" fontId="50" fillId="0" borderId="0" xfId="0" applyFont="1" applyAlignment="1">
      <alignment horizontal="center" wrapText="1"/>
    </xf>
    <xf numFmtId="0" fontId="9" fillId="14"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42" fillId="0" borderId="3" xfId="0" applyFont="1" applyBorder="1" applyAlignment="1">
      <alignment horizontal="center" vertical="center"/>
    </xf>
    <xf numFmtId="0" fontId="52" fillId="0" borderId="0" xfId="0" applyFont="1" applyAlignment="1">
      <alignment horizontal="center"/>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3" borderId="3" xfId="0" applyNumberFormat="1" applyFont="1" applyFill="1" applyBorder="1" applyAlignment="1" applyProtection="1">
      <alignment horizontal="center" vertical="center"/>
      <protection hidden="1"/>
    </xf>
    <xf numFmtId="49" fontId="54" fillId="4" borderId="2" xfId="0" applyNumberFormat="1" applyFont="1" applyFill="1" applyBorder="1" applyAlignment="1" applyProtection="1">
      <alignment horizontal="center" vertical="center" wrapText="1"/>
      <protection locked="0"/>
    </xf>
    <xf numFmtId="49" fontId="54" fillId="4" borderId="3" xfId="0" applyNumberFormat="1" applyFont="1" applyFill="1" applyBorder="1" applyAlignment="1" applyProtection="1">
      <alignment horizontal="center" vertical="center" wrapText="1"/>
      <protection locked="0"/>
    </xf>
    <xf numFmtId="49" fontId="54"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0" fontId="43" fillId="0" borderId="6" xfId="0" applyFont="1" applyBorder="1" applyAlignment="1" applyProtection="1">
      <alignment horizontal="center" vertical="center" wrapText="1"/>
      <protection locked="0"/>
    </xf>
    <xf numFmtId="0" fontId="38" fillId="0" borderId="94" xfId="0" applyFont="1" applyBorder="1" applyAlignment="1" applyProtection="1">
      <alignment horizontal="center" vertical="center" wrapText="1"/>
      <protection hidden="1"/>
    </xf>
    <xf numFmtId="0" fontId="36" fillId="0" borderId="73" xfId="0" applyFont="1" applyBorder="1" applyAlignment="1" applyProtection="1">
      <alignment horizontal="center" vertical="top"/>
      <protection hidden="1"/>
    </xf>
    <xf numFmtId="49" fontId="8" fillId="0" borderId="73" xfId="0" applyNumberFormat="1" applyFont="1" applyBorder="1" applyAlignment="1" applyProtection="1">
      <alignment horizontal="center" vertical="top"/>
      <protection hidden="1"/>
    </xf>
    <xf numFmtId="0" fontId="8" fillId="0" borderId="73" xfId="0" applyFont="1" applyBorder="1" applyAlignment="1" applyProtection="1">
      <alignment horizontal="center" vertical="top"/>
      <protection hidden="1"/>
    </xf>
    <xf numFmtId="49" fontId="36" fillId="0" borderId="73" xfId="0" applyNumberFormat="1" applyFont="1" applyBorder="1" applyAlignment="1">
      <alignment horizontal="center" vertical="top"/>
    </xf>
    <xf numFmtId="0" fontId="46" fillId="0" borderId="7" xfId="0" applyFont="1" applyBorder="1" applyAlignment="1">
      <alignment horizontal="left" vertical="center" wrapText="1"/>
    </xf>
    <xf numFmtId="0" fontId="46" fillId="0" borderId="7" xfId="0" applyFont="1" applyBorder="1" applyAlignment="1">
      <alignment horizontal="center" vertical="center" wrapText="1"/>
    </xf>
    <xf numFmtId="0" fontId="46" fillId="0" borderId="95" xfId="0" applyFont="1" applyBorder="1" applyAlignment="1">
      <alignment horizontal="center" vertical="center" wrapText="1"/>
    </xf>
    <xf numFmtId="0" fontId="43" fillId="0" borderId="96" xfId="0" applyFont="1" applyBorder="1" applyAlignment="1" applyProtection="1">
      <alignment horizontal="center" vertical="center" wrapText="1"/>
      <protection locked="0"/>
    </xf>
    <xf numFmtId="0" fontId="57" fillId="10" borderId="3" xfId="0" applyFont="1" applyFill="1" applyBorder="1" applyAlignment="1">
      <alignment horizontal="center" vertical="center"/>
    </xf>
    <xf numFmtId="0" fontId="51" fillId="10" borderId="31" xfId="0" applyFont="1" applyFill="1" applyBorder="1" applyAlignment="1">
      <alignment horizontal="center" vertical="center" wrapText="1"/>
    </xf>
    <xf numFmtId="0" fontId="7" fillId="0" borderId="79" xfId="0" applyFont="1" applyBorder="1" applyAlignment="1" applyProtection="1">
      <alignment horizontal="left" vertical="center" wrapText="1"/>
      <protection locked="0"/>
    </xf>
    <xf numFmtId="0" fontId="7" fillId="0" borderId="9" xfId="0" applyFont="1" applyBorder="1" applyAlignment="1" applyProtection="1">
      <alignment horizontal="justify" vertical="center" wrapText="1"/>
      <protection locked="0"/>
    </xf>
    <xf numFmtId="0" fontId="7" fillId="0" borderId="96"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0" xfId="0" applyFont="1" applyBorder="1" applyAlignment="1" applyProtection="1">
      <alignment horizontal="left" vertical="center" wrapText="1"/>
      <protection locked="0"/>
    </xf>
    <xf numFmtId="0" fontId="46" fillId="0" borderId="95" xfId="0" applyFont="1" applyBorder="1" applyAlignment="1">
      <alignment horizontal="left" vertical="center" wrapText="1"/>
    </xf>
    <xf numFmtId="0" fontId="7" fillId="0" borderId="80" xfId="0" applyFont="1" applyBorder="1" applyAlignment="1" applyProtection="1">
      <alignment horizontal="justify" vertical="center" wrapText="1"/>
      <protection locked="0"/>
    </xf>
    <xf numFmtId="0" fontId="7" fillId="0" borderId="79" xfId="0" applyFont="1" applyBorder="1" applyAlignment="1" applyProtection="1">
      <alignment horizontal="justify" vertical="center" wrapText="1"/>
      <protection locked="0"/>
    </xf>
    <xf numFmtId="0" fontId="46" fillId="0" borderId="2" xfId="0" applyFont="1" applyBorder="1" applyAlignment="1">
      <alignment horizontal="justify" vertical="center" wrapText="1"/>
    </xf>
    <xf numFmtId="0" fontId="46" fillId="0" borderId="3" xfId="0" applyFont="1" applyBorder="1" applyAlignment="1">
      <alignment horizontal="justify" vertical="center" wrapText="1"/>
    </xf>
    <xf numFmtId="49" fontId="45" fillId="5" borderId="0" xfId="0" applyNumberFormat="1" applyFont="1" applyFill="1" applyAlignment="1">
      <alignment horizontal="center" vertical="center"/>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3" borderId="47" xfId="2" applyFont="1" applyFill="1" applyBorder="1" applyAlignment="1">
      <alignment horizontal="center" vertical="center"/>
    </xf>
    <xf numFmtId="0" fontId="25" fillId="13"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5" borderId="61" xfId="4" applyFont="1" applyFill="1" applyBorder="1" applyAlignment="1">
      <alignment horizontal="center" vertical="center" wrapText="1"/>
    </xf>
    <xf numFmtId="0" fontId="34" fillId="15" borderId="62" xfId="4" applyFont="1" applyFill="1" applyBorder="1" applyAlignment="1">
      <alignment horizontal="center" vertical="center" wrapText="1"/>
    </xf>
    <xf numFmtId="0" fontId="34" fillId="15" borderId="63" xfId="3" applyFont="1" applyFill="1" applyBorder="1" applyAlignment="1">
      <alignment horizontal="center" vertical="center"/>
    </xf>
    <xf numFmtId="0" fontId="34" fillId="15" borderId="64" xfId="3" applyFont="1" applyFill="1" applyBorder="1" applyAlignment="1">
      <alignment horizontal="center" vertical="center"/>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59" fillId="0" borderId="24" xfId="0" applyFont="1" applyBorder="1" applyAlignment="1" applyProtection="1">
      <alignment horizontal="justify" vertical="center" wrapText="1"/>
      <protection locked="0"/>
    </xf>
    <xf numFmtId="0" fontId="59" fillId="0" borderId="1" xfId="0" applyFont="1" applyBorder="1" applyAlignment="1" applyProtection="1">
      <alignment horizontal="justify" vertical="center" wrapText="1"/>
      <protection locked="0"/>
    </xf>
    <xf numFmtId="0" fontId="59" fillId="0" borderId="25" xfId="0" applyFont="1" applyBorder="1" applyAlignment="1" applyProtection="1">
      <alignment horizontal="justify" vertical="center" wrapText="1"/>
      <protection locked="0"/>
    </xf>
    <xf numFmtId="0" fontId="51" fillId="10"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7" fillId="10" borderId="7" xfId="0" applyFont="1" applyFill="1" applyBorder="1" applyAlignment="1">
      <alignment horizontal="center" vertical="center" wrapText="1"/>
    </xf>
    <xf numFmtId="0" fontId="57" fillId="10" borderId="6" xfId="0" applyFont="1" applyFill="1" applyBorder="1" applyAlignment="1">
      <alignment horizontal="center" vertical="center" wrapText="1"/>
    </xf>
    <xf numFmtId="0" fontId="55" fillId="4" borderId="3" xfId="0" applyFont="1" applyFill="1" applyBorder="1" applyAlignment="1" applyProtection="1">
      <alignment horizontal="center" vertical="center"/>
      <protection locked="0"/>
    </xf>
    <xf numFmtId="164" fontId="55" fillId="4" borderId="22" xfId="0" applyNumberFormat="1" applyFont="1" applyFill="1" applyBorder="1" applyAlignment="1" applyProtection="1">
      <alignment horizontal="center" vertical="center"/>
      <protection locked="0"/>
    </xf>
    <xf numFmtId="164" fontId="55" fillId="4" borderId="23" xfId="0" applyNumberFormat="1" applyFont="1" applyFill="1" applyBorder="1" applyAlignment="1" applyProtection="1">
      <alignment horizontal="center" vertical="center"/>
      <protection locked="0"/>
    </xf>
    <xf numFmtId="164" fontId="55" fillId="4" borderId="9" xfId="0" applyNumberFormat="1" applyFont="1" applyFill="1" applyBorder="1" applyAlignment="1" applyProtection="1">
      <alignment horizontal="center" vertical="center"/>
      <protection locked="0"/>
    </xf>
    <xf numFmtId="0" fontId="51" fillId="10" borderId="24" xfId="0" applyFont="1" applyFill="1" applyBorder="1" applyAlignment="1">
      <alignment horizontal="center" vertical="center" wrapText="1"/>
    </xf>
    <xf numFmtId="0" fontId="51" fillId="10" borderId="1" xfId="0" applyFont="1" applyFill="1" applyBorder="1" applyAlignment="1">
      <alignment horizontal="center" vertical="center" wrapText="1"/>
    </xf>
    <xf numFmtId="0" fontId="51" fillId="10" borderId="25" xfId="0" applyFont="1" applyFill="1" applyBorder="1" applyAlignment="1">
      <alignment horizontal="center" vertical="center" wrapText="1"/>
    </xf>
    <xf numFmtId="0" fontId="9" fillId="10" borderId="27" xfId="0" applyFont="1" applyFill="1" applyBorder="1" applyAlignment="1">
      <alignment horizontal="center" vertical="center"/>
    </xf>
    <xf numFmtId="0" fontId="9" fillId="10" borderId="28" xfId="0" applyFont="1" applyFill="1" applyBorder="1" applyAlignment="1">
      <alignment horizontal="center" vertical="center"/>
    </xf>
    <xf numFmtId="0" fontId="9" fillId="10"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9" fillId="4" borderId="2" xfId="0" applyNumberFormat="1" applyFont="1" applyFill="1" applyBorder="1" applyAlignment="1" applyProtection="1">
      <alignment horizontal="center" vertical="center" wrapText="1"/>
      <protection locked="0"/>
    </xf>
    <xf numFmtId="49" fontId="59" fillId="4" borderId="84" xfId="0" applyNumberFormat="1" applyFont="1" applyFill="1" applyBorder="1" applyAlignment="1" applyProtection="1">
      <alignment horizontal="center" vertical="center" wrapText="1"/>
      <protection locked="0"/>
    </xf>
    <xf numFmtId="49" fontId="56" fillId="4" borderId="3" xfId="0" applyNumberFormat="1" applyFont="1" applyFill="1" applyBorder="1" applyAlignment="1" applyProtection="1">
      <alignment horizontal="center" vertical="center" wrapText="1"/>
      <protection locked="0"/>
    </xf>
    <xf numFmtId="49" fontId="56" fillId="4" borderId="85" xfId="0" applyNumberFormat="1" applyFont="1" applyFill="1" applyBorder="1" applyAlignment="1" applyProtection="1">
      <alignment horizontal="center" vertical="center" wrapText="1"/>
      <protection locked="0"/>
    </xf>
    <xf numFmtId="49" fontId="56" fillId="4" borderId="4" xfId="0" applyNumberFormat="1" applyFont="1" applyFill="1" applyBorder="1" applyAlignment="1" applyProtection="1">
      <alignment horizontal="center" vertical="center" wrapText="1"/>
      <protection locked="0"/>
    </xf>
    <xf numFmtId="49" fontId="56" fillId="4" borderId="86" xfId="0" applyNumberFormat="1" applyFont="1" applyFill="1" applyBorder="1" applyAlignment="1" applyProtection="1">
      <alignment horizontal="center" vertical="center" wrapText="1"/>
      <protection locked="0"/>
    </xf>
    <xf numFmtId="0" fontId="36" fillId="4" borderId="0" xfId="0" applyFont="1" applyFill="1"/>
    <xf numFmtId="49" fontId="30" fillId="5" borderId="7" xfId="0" applyNumberFormat="1" applyFont="1" applyFill="1" applyBorder="1" applyAlignment="1">
      <alignment horizontal="center" vertical="center" wrapText="1"/>
    </xf>
    <xf numFmtId="0" fontId="30" fillId="5" borderId="7" xfId="0" applyFont="1" applyFill="1" applyBorder="1" applyAlignment="1">
      <alignment horizontal="center" vertical="center" wrapText="1"/>
    </xf>
    <xf numFmtId="49" fontId="46" fillId="6" borderId="11" xfId="0" applyNumberFormat="1" applyFont="1" applyFill="1" applyBorder="1" applyAlignment="1">
      <alignment horizontal="center" vertical="center" wrapText="1"/>
    </xf>
    <xf numFmtId="0" fontId="46" fillId="6" borderId="11" xfId="0" applyFont="1" applyFill="1" applyBorder="1" applyAlignment="1">
      <alignment horizontal="center" vertical="center" wrapText="1"/>
    </xf>
    <xf numFmtId="49" fontId="46" fillId="6" borderId="12" xfId="0" applyNumberFormat="1" applyFont="1" applyFill="1" applyBorder="1" applyAlignment="1">
      <alignment horizontal="center" vertical="center" wrapText="1"/>
    </xf>
    <xf numFmtId="0" fontId="46" fillId="6" borderId="12" xfId="0" applyFont="1" applyFill="1" applyBorder="1" applyAlignment="1">
      <alignment horizontal="center" vertical="center" wrapText="1"/>
    </xf>
    <xf numFmtId="49" fontId="46" fillId="6" borderId="13" xfId="0" applyNumberFormat="1" applyFont="1" applyFill="1" applyBorder="1" applyAlignment="1">
      <alignment horizontal="center" vertical="center" wrapText="1"/>
    </xf>
    <xf numFmtId="0" fontId="46" fillId="6" borderId="13" xfId="0" applyFont="1" applyFill="1" applyBorder="1" applyAlignment="1">
      <alignment horizontal="center" vertical="center" wrapText="1"/>
    </xf>
    <xf numFmtId="49" fontId="46" fillId="10" borderId="11" xfId="0" applyNumberFormat="1" applyFont="1" applyFill="1" applyBorder="1" applyAlignment="1">
      <alignment horizontal="center" vertical="center" wrapText="1"/>
    </xf>
    <xf numFmtId="0" fontId="46" fillId="10" borderId="11" xfId="0" applyFont="1" applyFill="1" applyBorder="1" applyAlignment="1">
      <alignment horizontal="center" vertical="center" wrapText="1"/>
    </xf>
    <xf numFmtId="49" fontId="46" fillId="10" borderId="12" xfId="0" applyNumberFormat="1" applyFont="1" applyFill="1" applyBorder="1" applyAlignment="1">
      <alignment horizontal="center" vertical="center" wrapText="1"/>
    </xf>
    <xf numFmtId="0" fontId="46" fillId="10" borderId="12" xfId="0" applyFont="1" applyFill="1" applyBorder="1" applyAlignment="1">
      <alignment horizontal="center" vertical="center" wrapText="1"/>
    </xf>
    <xf numFmtId="49" fontId="46" fillId="10" borderId="13" xfId="0" applyNumberFormat="1" applyFont="1" applyFill="1" applyBorder="1" applyAlignment="1">
      <alignment horizontal="center" vertical="center" wrapText="1"/>
    </xf>
    <xf numFmtId="0" fontId="46" fillId="10" borderId="13" xfId="0" applyFont="1" applyFill="1" applyBorder="1" applyAlignment="1">
      <alignment horizontal="center" vertical="center" wrapText="1"/>
    </xf>
    <xf numFmtId="49" fontId="46" fillId="10" borderId="3" xfId="0" applyNumberFormat="1" applyFont="1" applyFill="1" applyBorder="1" applyAlignment="1">
      <alignment horizontal="center" vertical="center" wrapText="1"/>
    </xf>
    <xf numFmtId="0" fontId="46" fillId="10" borderId="3" xfId="0" applyFont="1" applyFill="1" applyBorder="1" applyAlignment="1">
      <alignment horizontal="center" vertical="center" wrapText="1"/>
    </xf>
    <xf numFmtId="49" fontId="46" fillId="2" borderId="11" xfId="0" applyNumberFormat="1" applyFont="1" applyFill="1" applyBorder="1" applyAlignment="1">
      <alignment horizontal="center" vertical="center" wrapText="1"/>
    </xf>
    <xf numFmtId="0" fontId="46" fillId="2" borderId="11" xfId="0" applyFont="1" applyFill="1" applyBorder="1" applyAlignment="1">
      <alignment horizontal="center" vertical="center" wrapText="1"/>
    </xf>
    <xf numFmtId="49" fontId="46" fillId="2" borderId="12" xfId="0" applyNumberFormat="1" applyFont="1" applyFill="1" applyBorder="1" applyAlignment="1">
      <alignment horizontal="center" vertical="center" wrapText="1"/>
    </xf>
    <xf numFmtId="0" fontId="46" fillId="2" borderId="12" xfId="0" applyFont="1" applyFill="1" applyBorder="1" applyAlignment="1">
      <alignment horizontal="center" vertical="center" wrapText="1"/>
    </xf>
    <xf numFmtId="49" fontId="46" fillId="2" borderId="13" xfId="0" applyNumberFormat="1" applyFont="1" applyFill="1" applyBorder="1" applyAlignment="1">
      <alignment horizontal="center" vertical="center" wrapText="1"/>
    </xf>
    <xf numFmtId="0" fontId="46" fillId="2" borderId="13" xfId="0" applyFont="1" applyFill="1" applyBorder="1" applyAlignment="1">
      <alignment horizontal="center" vertical="center" wrapText="1"/>
    </xf>
    <xf numFmtId="49" fontId="46" fillId="11" borderId="11" xfId="0" applyNumberFormat="1" applyFont="1" applyFill="1" applyBorder="1" applyAlignment="1">
      <alignment horizontal="center" vertical="center" wrapText="1"/>
    </xf>
    <xf numFmtId="0" fontId="46" fillId="11" borderId="11" xfId="0" applyFont="1" applyFill="1" applyBorder="1" applyAlignment="1">
      <alignment horizontal="center" vertical="center" wrapText="1"/>
    </xf>
    <xf numFmtId="49" fontId="46" fillId="11" borderId="12" xfId="0" applyNumberFormat="1" applyFont="1" applyFill="1" applyBorder="1" applyAlignment="1">
      <alignment horizontal="center" vertical="center" wrapText="1"/>
    </xf>
    <xf numFmtId="0" fontId="46" fillId="11" borderId="12" xfId="0" applyFont="1" applyFill="1" applyBorder="1" applyAlignment="1">
      <alignment horizontal="center" vertical="center" wrapText="1"/>
    </xf>
    <xf numFmtId="49" fontId="46" fillId="11" borderId="13" xfId="0" applyNumberFormat="1" applyFont="1" applyFill="1" applyBorder="1" applyAlignment="1">
      <alignment horizontal="center" vertical="center" wrapText="1"/>
    </xf>
    <xf numFmtId="0" fontId="46" fillId="11" borderId="13" xfId="0" applyFont="1" applyFill="1" applyBorder="1" applyAlignment="1">
      <alignment horizontal="center" vertical="center" wrapText="1"/>
    </xf>
    <xf numFmtId="49" fontId="46" fillId="9" borderId="11" xfId="0" applyNumberFormat="1" applyFont="1" applyFill="1" applyBorder="1" applyAlignment="1">
      <alignment horizontal="center" vertical="center" wrapText="1"/>
    </xf>
    <xf numFmtId="0" fontId="46" fillId="9" borderId="11" xfId="0" applyFont="1" applyFill="1" applyBorder="1" applyAlignment="1">
      <alignment horizontal="center" vertical="center" wrapText="1"/>
    </xf>
    <xf numFmtId="49" fontId="46" fillId="9" borderId="12" xfId="0" applyNumberFormat="1" applyFont="1" applyFill="1" applyBorder="1" applyAlignment="1">
      <alignment horizontal="center" vertical="center" wrapText="1"/>
    </xf>
    <xf numFmtId="0" fontId="46" fillId="9" borderId="12" xfId="0" applyFont="1" applyFill="1" applyBorder="1" applyAlignment="1">
      <alignment horizontal="center" vertical="center" wrapText="1"/>
    </xf>
    <xf numFmtId="49" fontId="46" fillId="9" borderId="13" xfId="0" applyNumberFormat="1" applyFont="1" applyFill="1" applyBorder="1" applyAlignment="1">
      <alignment horizontal="center" vertical="center" wrapText="1"/>
    </xf>
    <xf numFmtId="0" fontId="46" fillId="9" borderId="13" xfId="0" applyFont="1" applyFill="1" applyBorder="1" applyAlignment="1">
      <alignment horizontal="center" vertical="center" wrapText="1"/>
    </xf>
    <xf numFmtId="49" fontId="46" fillId="9" borderId="11" xfId="0" applyNumberFormat="1" applyFont="1" applyFill="1" applyBorder="1" applyAlignment="1">
      <alignment horizontal="center" vertical="center" wrapText="1"/>
    </xf>
    <xf numFmtId="0" fontId="46" fillId="9" borderId="11" xfId="0" applyFont="1" applyFill="1" applyBorder="1" applyAlignment="1">
      <alignment horizontal="center" vertical="top" wrapText="1"/>
    </xf>
    <xf numFmtId="0" fontId="46" fillId="9" borderId="6" xfId="0" applyFont="1" applyFill="1" applyBorder="1" applyAlignment="1">
      <alignment horizontal="center" vertical="center" wrapText="1"/>
    </xf>
    <xf numFmtId="0" fontId="36" fillId="0" borderId="0" xfId="0" applyFont="1"/>
    <xf numFmtId="0" fontId="43" fillId="0" borderId="2" xfId="0" applyFont="1" applyFill="1" applyBorder="1" applyAlignment="1" applyProtection="1">
      <alignment horizontal="center" vertical="center" wrapText="1"/>
      <protection locked="0"/>
    </xf>
    <xf numFmtId="0" fontId="7" fillId="7" borderId="80" xfId="0" applyFont="1" applyFill="1" applyBorder="1" applyAlignment="1" applyProtection="1">
      <alignment horizontal="left" vertical="center" wrapText="1"/>
      <protection locked="0"/>
    </xf>
    <xf numFmtId="0" fontId="7" fillId="7" borderId="79" xfId="0" applyFont="1" applyFill="1" applyBorder="1" applyAlignment="1" applyProtection="1">
      <alignment horizontal="left" vertical="center" wrapText="1"/>
      <protection locked="0"/>
    </xf>
    <xf numFmtId="0" fontId="7" fillId="7" borderId="9" xfId="0" applyFont="1" applyFill="1" applyBorder="1" applyAlignment="1" applyProtection="1">
      <alignment horizontal="left" vertical="center"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12</xdr:row>
      <xdr:rowOff>114147</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34763</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4" zoomScale="102" zoomScaleNormal="102" workbookViewId="0">
      <selection activeCell="E17" sqref="E17:F1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217" t="s">
        <v>0</v>
      </c>
      <c r="C2" s="218"/>
      <c r="D2" s="218"/>
      <c r="E2" s="218"/>
      <c r="F2" s="218"/>
      <c r="G2" s="218"/>
      <c r="H2" s="219"/>
    </row>
    <row r="3" spans="2:8" ht="65.25" customHeight="1" x14ac:dyDescent="0.2">
      <c r="B3" s="220" t="s">
        <v>1</v>
      </c>
      <c r="C3" s="221"/>
      <c r="D3" s="221"/>
      <c r="E3" s="221"/>
      <c r="F3" s="221"/>
      <c r="G3" s="221"/>
      <c r="H3" s="222"/>
    </row>
    <row r="4" spans="2:8" ht="82.5" customHeight="1" x14ac:dyDescent="0.2">
      <c r="B4" s="220"/>
      <c r="C4" s="221"/>
      <c r="D4" s="221"/>
      <c r="E4" s="221"/>
      <c r="F4" s="221"/>
      <c r="G4" s="221"/>
      <c r="H4" s="222"/>
    </row>
    <row r="5" spans="2:8" ht="21.75" customHeight="1" x14ac:dyDescent="0.2">
      <c r="B5" s="223" t="s">
        <v>2</v>
      </c>
      <c r="C5" s="224"/>
      <c r="D5" s="224"/>
      <c r="E5" s="224"/>
      <c r="F5" s="224"/>
      <c r="G5" s="224"/>
      <c r="H5" s="225"/>
    </row>
    <row r="6" spans="2:8" ht="42" customHeight="1" x14ac:dyDescent="0.2">
      <c r="B6" s="226" t="s">
        <v>3</v>
      </c>
      <c r="C6" s="227"/>
      <c r="D6" s="227"/>
      <c r="E6" s="227"/>
      <c r="F6" s="227"/>
      <c r="G6" s="227"/>
      <c r="H6" s="228"/>
    </row>
    <row r="7" spans="2:8" ht="14.25" customHeight="1" x14ac:dyDescent="0.2">
      <c r="B7" s="226"/>
      <c r="C7" s="227"/>
      <c r="D7" s="227"/>
      <c r="E7" s="227"/>
      <c r="F7" s="227"/>
      <c r="G7" s="227"/>
      <c r="H7" s="228"/>
    </row>
    <row r="8" spans="2:8" ht="12.75" customHeight="1" thickBot="1" x14ac:dyDescent="0.25">
      <c r="B8" s="54"/>
      <c r="C8" s="48"/>
      <c r="D8" s="63"/>
      <c r="E8" s="64"/>
      <c r="F8" s="64"/>
      <c r="G8" s="62"/>
      <c r="H8" s="56"/>
    </row>
    <row r="9" spans="2:8" ht="21" customHeight="1" thickTop="1" x14ac:dyDescent="0.2">
      <c r="B9" s="54"/>
      <c r="C9" s="229" t="s">
        <v>4</v>
      </c>
      <c r="D9" s="230"/>
      <c r="E9" s="231" t="s">
        <v>5</v>
      </c>
      <c r="F9" s="232"/>
      <c r="G9" s="48"/>
      <c r="H9" s="56"/>
    </row>
    <row r="10" spans="2:8" ht="37.5" customHeight="1" x14ac:dyDescent="0.2">
      <c r="B10" s="54"/>
      <c r="C10" s="209" t="s">
        <v>6</v>
      </c>
      <c r="D10" s="210"/>
      <c r="E10" s="211" t="s">
        <v>7</v>
      </c>
      <c r="F10" s="212"/>
      <c r="G10" s="48"/>
      <c r="H10" s="56"/>
    </row>
    <row r="11" spans="2:8" ht="39.75" customHeight="1" x14ac:dyDescent="0.2">
      <c r="B11" s="54"/>
      <c r="C11" s="213" t="s">
        <v>8</v>
      </c>
      <c r="D11" s="214"/>
      <c r="E11" s="190" t="s">
        <v>9</v>
      </c>
      <c r="F11" s="191"/>
      <c r="G11" s="48"/>
      <c r="H11" s="56"/>
    </row>
    <row r="12" spans="2:8" ht="59.25" customHeight="1" x14ac:dyDescent="0.2">
      <c r="B12" s="54"/>
      <c r="C12" s="213" t="s">
        <v>10</v>
      </c>
      <c r="D12" s="214"/>
      <c r="E12" s="215" t="s">
        <v>11</v>
      </c>
      <c r="F12" s="216"/>
      <c r="G12" s="48"/>
      <c r="H12" s="56"/>
    </row>
    <row r="13" spans="2:8" ht="33.75" customHeight="1" x14ac:dyDescent="0.2">
      <c r="B13" s="54"/>
      <c r="C13" s="188" t="s">
        <v>12</v>
      </c>
      <c r="D13" s="189"/>
      <c r="E13" s="190" t="s">
        <v>13</v>
      </c>
      <c r="F13" s="191"/>
      <c r="G13" s="48"/>
      <c r="H13" s="56"/>
    </row>
    <row r="14" spans="2:8" ht="19.5" customHeight="1" x14ac:dyDescent="0.2">
      <c r="B14" s="54"/>
      <c r="C14" s="60"/>
      <c r="D14" s="60"/>
      <c r="E14" s="61"/>
      <c r="F14" s="61"/>
      <c r="G14" s="48"/>
      <c r="H14" s="56"/>
    </row>
    <row r="15" spans="2:8" ht="37.5" customHeight="1" thickBot="1" x14ac:dyDescent="0.25">
      <c r="B15" s="184" t="s">
        <v>14</v>
      </c>
      <c r="C15" s="185"/>
      <c r="D15" s="185"/>
      <c r="E15" s="185"/>
      <c r="F15" s="185"/>
      <c r="G15" s="185"/>
      <c r="H15" s="186"/>
    </row>
    <row r="16" spans="2:8" ht="27.75" customHeight="1" thickBot="1" x14ac:dyDescent="0.25">
      <c r="B16" s="54"/>
      <c r="C16" s="192" t="s">
        <v>15</v>
      </c>
      <c r="D16" s="193"/>
      <c r="E16" s="193" t="s">
        <v>16</v>
      </c>
      <c r="F16" s="204"/>
      <c r="G16" s="48"/>
      <c r="H16" s="56"/>
    </row>
    <row r="17" spans="2:8" ht="27.75" customHeight="1" x14ac:dyDescent="0.2">
      <c r="B17" s="54"/>
      <c r="C17" s="205" t="s">
        <v>17</v>
      </c>
      <c r="D17" s="206"/>
      <c r="E17" s="207" t="s">
        <v>18</v>
      </c>
      <c r="F17" s="208"/>
      <c r="G17" s="89"/>
      <c r="H17" s="56"/>
    </row>
    <row r="18" spans="2:8" ht="41.25" customHeight="1" x14ac:dyDescent="0.2">
      <c r="B18" s="54"/>
      <c r="C18" s="194" t="s">
        <v>19</v>
      </c>
      <c r="D18" s="195"/>
      <c r="E18" s="196" t="s">
        <v>20</v>
      </c>
      <c r="F18" s="197"/>
      <c r="G18" s="90"/>
      <c r="H18" s="56"/>
    </row>
    <row r="19" spans="2:8" ht="37.5" customHeight="1" thickBot="1" x14ac:dyDescent="0.25">
      <c r="B19" s="54"/>
      <c r="C19" s="198" t="s">
        <v>21</v>
      </c>
      <c r="D19" s="199"/>
      <c r="E19" s="200" t="s">
        <v>22</v>
      </c>
      <c r="F19" s="201"/>
      <c r="G19" s="90"/>
      <c r="H19" s="56"/>
    </row>
    <row r="20" spans="2:8" ht="11.25" customHeight="1" x14ac:dyDescent="0.2">
      <c r="B20" s="49"/>
      <c r="C20" s="50"/>
      <c r="D20" s="50"/>
      <c r="E20" s="50"/>
      <c r="F20" s="50"/>
      <c r="G20" s="50"/>
      <c r="H20" s="51"/>
    </row>
    <row r="21" spans="2:8" ht="14.25" customHeight="1" x14ac:dyDescent="0.2">
      <c r="B21" s="52"/>
      <c r="C21" s="202"/>
      <c r="D21" s="202"/>
      <c r="E21" s="203"/>
      <c r="F21" s="203"/>
      <c r="G21" s="203"/>
      <c r="H21" s="53"/>
    </row>
    <row r="22" spans="2:8" ht="36" customHeight="1" x14ac:dyDescent="0.2">
      <c r="B22" s="184" t="s">
        <v>23</v>
      </c>
      <c r="C22" s="185"/>
      <c r="D22" s="185"/>
      <c r="E22" s="185"/>
      <c r="F22" s="185"/>
      <c r="G22" s="185"/>
      <c r="H22" s="186"/>
    </row>
    <row r="23" spans="2:8" ht="13.5" x14ac:dyDescent="0.2">
      <c r="B23" s="54"/>
      <c r="C23" s="55"/>
      <c r="D23" s="55"/>
      <c r="E23" s="187"/>
      <c r="F23" s="187"/>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E1" zoomScale="66" zoomScaleNormal="66" workbookViewId="0">
      <selection activeCell="H25" sqref="H25"/>
    </sheetView>
  </sheetViews>
  <sheetFormatPr baseColWidth="10" defaultColWidth="11.42578125" defaultRowHeight="16.5" x14ac:dyDescent="0.3"/>
  <cols>
    <col min="1" max="1" width="3" style="44" hidden="1" customWidth="1"/>
    <col min="2" max="2" width="9.42578125" style="44" customWidth="1"/>
    <col min="3" max="3" width="25.5703125" style="335" customWidth="1"/>
    <col min="4" max="4" width="46.5703125" style="335"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ht="9.75" customHeight="1" x14ac:dyDescent="0.3">
      <c r="B1" s="43"/>
      <c r="C1" s="297"/>
      <c r="D1" s="297"/>
      <c r="E1" s="65"/>
      <c r="F1" s="65"/>
      <c r="G1" s="43"/>
      <c r="H1" s="43"/>
      <c r="I1" s="43"/>
      <c r="J1" s="67"/>
      <c r="K1" s="67"/>
      <c r="L1" s="67"/>
      <c r="M1" s="43"/>
      <c r="N1" s="43"/>
      <c r="O1" s="43"/>
      <c r="P1" s="43"/>
      <c r="Q1" s="43"/>
      <c r="R1" s="43"/>
      <c r="S1" s="43"/>
      <c r="T1" s="43"/>
      <c r="U1" s="43"/>
      <c r="V1" s="43"/>
      <c r="W1" s="43"/>
      <c r="X1" s="43"/>
    </row>
    <row r="2" spans="1:32" x14ac:dyDescent="0.3">
      <c r="B2" s="43"/>
      <c r="C2" s="297"/>
      <c r="D2" s="297"/>
      <c r="E2" s="65"/>
      <c r="F2" s="65"/>
      <c r="G2" s="43"/>
      <c r="H2" s="43"/>
      <c r="I2" s="43"/>
      <c r="J2" s="67"/>
      <c r="K2" s="67"/>
      <c r="L2" s="67"/>
      <c r="M2" s="43"/>
      <c r="N2" s="43"/>
      <c r="O2" s="43"/>
      <c r="P2" s="43"/>
      <c r="Q2" s="43"/>
      <c r="R2" s="43"/>
      <c r="S2" s="43"/>
      <c r="T2" s="43"/>
      <c r="U2" s="43"/>
      <c r="V2" s="43"/>
      <c r="W2" s="43"/>
      <c r="X2" s="43"/>
    </row>
    <row r="3" spans="1:32" x14ac:dyDescent="0.3">
      <c r="B3" s="43"/>
      <c r="C3" s="297"/>
      <c r="D3" s="297"/>
      <c r="E3" s="65"/>
      <c r="F3" s="65"/>
      <c r="G3" s="43"/>
      <c r="H3" s="43"/>
      <c r="I3" s="43"/>
      <c r="J3" s="67"/>
      <c r="K3" s="67"/>
      <c r="L3" s="67"/>
      <c r="M3" s="43"/>
      <c r="N3" s="43"/>
      <c r="O3" s="43"/>
      <c r="P3" s="43"/>
      <c r="Q3" s="43"/>
      <c r="R3" s="43"/>
      <c r="S3" s="43"/>
      <c r="T3" s="43"/>
      <c r="U3" s="43"/>
      <c r="V3" s="43"/>
      <c r="W3" s="43"/>
      <c r="X3" s="43"/>
    </row>
    <row r="4" spans="1:32" x14ac:dyDescent="0.3">
      <c r="B4" s="43"/>
      <c r="C4" s="297"/>
      <c r="D4" s="297"/>
      <c r="E4" s="65"/>
      <c r="F4" s="65"/>
      <c r="G4" s="43"/>
      <c r="H4" s="43"/>
      <c r="I4" s="43"/>
      <c r="J4" s="67"/>
      <c r="K4" s="67"/>
      <c r="L4" s="67"/>
      <c r="M4" s="43"/>
      <c r="N4" s="43"/>
      <c r="O4" s="43"/>
      <c r="P4" s="43"/>
      <c r="Q4" s="43"/>
      <c r="R4" s="43"/>
      <c r="S4" s="43"/>
      <c r="T4" s="43"/>
      <c r="U4" s="43"/>
      <c r="V4" s="43"/>
      <c r="W4" s="43"/>
      <c r="X4" s="43"/>
    </row>
    <row r="5" spans="1:32" x14ac:dyDescent="0.3">
      <c r="B5" s="43"/>
      <c r="C5" s="297"/>
      <c r="D5" s="297"/>
      <c r="E5" s="65"/>
      <c r="F5" s="65"/>
      <c r="G5" s="43"/>
      <c r="H5" s="43"/>
      <c r="I5" s="43"/>
      <c r="J5" s="67"/>
      <c r="K5" s="67"/>
      <c r="L5" s="67"/>
      <c r="M5" s="43"/>
      <c r="N5" s="43"/>
      <c r="O5" s="43"/>
      <c r="P5" s="43"/>
      <c r="Q5" s="43"/>
      <c r="R5" s="43"/>
      <c r="S5" s="43"/>
      <c r="T5" s="43"/>
      <c r="U5" s="43"/>
      <c r="V5" s="43"/>
      <c r="W5" s="43"/>
      <c r="X5" s="43"/>
    </row>
    <row r="6" spans="1:32" x14ac:dyDescent="0.3">
      <c r="B6" s="43"/>
      <c r="C6" s="297"/>
      <c r="D6" s="297"/>
      <c r="E6" s="65"/>
      <c r="F6" s="65"/>
      <c r="G6" s="43"/>
      <c r="H6" s="43"/>
      <c r="I6" s="43"/>
      <c r="J6" s="67"/>
      <c r="K6" s="67"/>
      <c r="L6" s="67"/>
      <c r="M6" s="43"/>
      <c r="N6" s="43"/>
      <c r="O6" s="43"/>
      <c r="P6" s="43"/>
      <c r="Q6" s="43"/>
      <c r="R6" s="43"/>
      <c r="S6" s="43"/>
      <c r="T6" s="43"/>
      <c r="U6" s="43"/>
      <c r="V6" s="43"/>
      <c r="W6" s="43"/>
      <c r="X6" s="43"/>
    </row>
    <row r="7" spans="1:32" x14ac:dyDescent="0.3">
      <c r="B7" s="43"/>
      <c r="C7" s="297"/>
      <c r="D7" s="297"/>
      <c r="E7" s="65"/>
      <c r="F7" s="65"/>
      <c r="G7" s="43"/>
      <c r="H7" s="43"/>
      <c r="I7" s="43"/>
      <c r="J7" s="67"/>
      <c r="K7" s="67"/>
      <c r="L7" s="67"/>
      <c r="M7" s="43"/>
      <c r="N7" s="43"/>
      <c r="O7" s="43"/>
      <c r="P7" s="43"/>
      <c r="Q7" s="43"/>
      <c r="R7" s="43"/>
      <c r="S7" s="43"/>
      <c r="T7" s="43"/>
      <c r="U7" s="43"/>
      <c r="V7" s="43"/>
      <c r="W7" s="43"/>
      <c r="X7" s="43"/>
    </row>
    <row r="8" spans="1:32" x14ac:dyDescent="0.3">
      <c r="B8" s="43"/>
      <c r="C8" s="297"/>
      <c r="D8" s="297"/>
      <c r="E8" s="65"/>
      <c r="F8" s="65"/>
      <c r="G8" s="43"/>
      <c r="H8" s="43"/>
      <c r="I8" s="43"/>
      <c r="J8" s="67"/>
      <c r="K8" s="67"/>
      <c r="L8" s="67"/>
      <c r="M8" s="43"/>
      <c r="N8" s="43"/>
      <c r="O8" s="43"/>
      <c r="P8" s="43"/>
      <c r="Q8" s="43"/>
      <c r="R8" s="43"/>
      <c r="S8" s="43"/>
      <c r="T8" s="43"/>
      <c r="U8" s="43"/>
      <c r="V8" s="43"/>
      <c r="W8" s="43"/>
      <c r="X8" s="43"/>
    </row>
    <row r="9" spans="1:32" x14ac:dyDescent="0.3">
      <c r="B9" s="43"/>
      <c r="C9" s="297"/>
      <c r="D9" s="297"/>
      <c r="E9" s="65"/>
      <c r="F9" s="65"/>
      <c r="G9" s="43"/>
      <c r="H9" s="43"/>
      <c r="I9" s="43"/>
      <c r="J9" s="67"/>
      <c r="K9" s="67"/>
      <c r="L9" s="67"/>
      <c r="M9" s="43"/>
      <c r="N9" s="43"/>
      <c r="O9" s="43"/>
      <c r="P9" s="43"/>
      <c r="Q9" s="43"/>
      <c r="R9" s="43"/>
      <c r="S9" s="43"/>
      <c r="T9" s="43"/>
      <c r="U9" s="43"/>
      <c r="V9" s="43"/>
      <c r="W9" s="43"/>
      <c r="X9" s="43"/>
    </row>
    <row r="10" spans="1:32" ht="10.7" customHeight="1" x14ac:dyDescent="0.3">
      <c r="B10" s="43"/>
      <c r="C10" s="297"/>
      <c r="D10" s="297"/>
      <c r="E10" s="65"/>
      <c r="F10" s="65"/>
      <c r="G10" s="43"/>
      <c r="H10" s="43"/>
      <c r="I10" s="43"/>
      <c r="J10" s="67"/>
      <c r="K10" s="67"/>
      <c r="L10" s="67"/>
      <c r="M10" s="43"/>
      <c r="N10" s="43"/>
      <c r="O10" s="43"/>
      <c r="P10" s="43"/>
      <c r="Q10" s="43"/>
      <c r="R10" s="43"/>
      <c r="S10" s="43"/>
      <c r="T10" s="43"/>
      <c r="U10" s="43"/>
      <c r="V10" s="43"/>
      <c r="W10" s="43"/>
      <c r="X10" s="43"/>
    </row>
    <row r="11" spans="1:32" ht="8.4499999999999993" customHeight="1" x14ac:dyDescent="0.3">
      <c r="B11" s="43"/>
      <c r="C11" s="297"/>
      <c r="D11" s="297"/>
      <c r="E11" s="65"/>
      <c r="F11" s="65"/>
      <c r="G11" s="43"/>
      <c r="H11" s="43"/>
      <c r="I11" s="43"/>
      <c r="J11" s="67"/>
      <c r="K11" s="67"/>
      <c r="L11" s="67"/>
      <c r="M11" s="43"/>
      <c r="N11" s="43"/>
      <c r="O11" s="43"/>
      <c r="P11" s="43"/>
      <c r="Q11" s="43"/>
      <c r="R11" s="43"/>
      <c r="S11" s="43"/>
      <c r="T11" s="43"/>
      <c r="U11" s="43"/>
      <c r="V11" s="43"/>
      <c r="W11" s="43"/>
      <c r="X11" s="43"/>
    </row>
    <row r="12" spans="1:32" ht="7.9" customHeight="1" x14ac:dyDescent="0.3">
      <c r="B12" s="43"/>
      <c r="C12" s="297"/>
      <c r="D12" s="297"/>
      <c r="E12" s="65"/>
      <c r="F12" s="65"/>
      <c r="G12" s="43"/>
      <c r="H12" s="43"/>
      <c r="I12" s="43"/>
      <c r="J12" s="67"/>
      <c r="K12" s="67"/>
      <c r="L12" s="67"/>
      <c r="M12" s="43"/>
      <c r="N12" s="43"/>
      <c r="O12" s="43"/>
      <c r="P12" s="43"/>
      <c r="Q12" s="43"/>
      <c r="R12" s="43"/>
      <c r="S12" s="43"/>
      <c r="T12" s="43"/>
      <c r="U12" s="43"/>
      <c r="V12" s="43"/>
      <c r="W12" s="43"/>
      <c r="X12" s="43"/>
    </row>
    <row r="13" spans="1:32" ht="10.9" customHeight="1" x14ac:dyDescent="0.3">
      <c r="B13" s="43"/>
      <c r="C13" s="297"/>
      <c r="D13" s="297"/>
      <c r="E13" s="65"/>
      <c r="F13" s="65"/>
      <c r="G13" s="43"/>
      <c r="H13" s="43"/>
      <c r="I13" s="43"/>
      <c r="J13" s="67"/>
      <c r="K13" s="67"/>
      <c r="L13" s="67"/>
      <c r="M13" s="43"/>
      <c r="N13" s="43"/>
      <c r="O13" s="43"/>
      <c r="P13" s="43"/>
      <c r="Q13" s="43"/>
      <c r="R13" s="43"/>
      <c r="S13" s="43"/>
      <c r="T13" s="43"/>
      <c r="U13" s="43"/>
      <c r="V13" s="43"/>
      <c r="W13" s="43"/>
      <c r="X13" s="43"/>
    </row>
    <row r="14" spans="1:32" s="46" customFormat="1" ht="18" x14ac:dyDescent="0.25">
      <c r="B14" s="166" t="s">
        <v>24</v>
      </c>
      <c r="C14" s="166"/>
      <c r="D14" s="166"/>
      <c r="E14" s="166"/>
      <c r="F14" s="166"/>
      <c r="G14" s="166"/>
      <c r="H14" s="166"/>
      <c r="I14" s="166"/>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08.75" thickBot="1" x14ac:dyDescent="0.3">
      <c r="B15" s="70" t="s">
        <v>25</v>
      </c>
      <c r="C15" s="298" t="s">
        <v>6</v>
      </c>
      <c r="D15" s="299" t="s">
        <v>8</v>
      </c>
      <c r="E15" s="71" t="s">
        <v>26</v>
      </c>
      <c r="F15" s="71" t="s">
        <v>27</v>
      </c>
      <c r="G15" s="71" t="s">
        <v>28</v>
      </c>
      <c r="H15" s="72" t="s">
        <v>29</v>
      </c>
      <c r="I15" s="71"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3.900000000000006" customHeight="1" x14ac:dyDescent="0.25">
      <c r="A16" s="91" t="str">
        <f>1&amp;E16</f>
        <v>1a</v>
      </c>
      <c r="B16" s="173" t="s">
        <v>31</v>
      </c>
      <c r="C16" s="300" t="s">
        <v>32</v>
      </c>
      <c r="D16" s="301" t="s">
        <v>33</v>
      </c>
      <c r="E16" s="73" t="s">
        <v>34</v>
      </c>
      <c r="F16" s="74" t="s">
        <v>35</v>
      </c>
      <c r="G16" s="336" t="s">
        <v>39</v>
      </c>
      <c r="H16" s="156" t="s">
        <v>209</v>
      </c>
      <c r="I16" s="92" t="str">
        <f>+IF(G16="Si","Mantenimiento del control",IF(G16="En proceso","Oportunidad de mejora","Deficiencia de control"))</f>
        <v>Mantenimiento del control</v>
      </c>
      <c r="J16" s="93">
        <f t="shared" ref="J16:J27" si="0">+IF(G16="Si",20,IF(G16="En proceso",10,0))</f>
        <v>20</v>
      </c>
      <c r="K16" s="93">
        <v>0.123</v>
      </c>
      <c r="L16" s="93">
        <f>+J16+K16</f>
        <v>20.123000000000001</v>
      </c>
    </row>
    <row r="17" spans="1:32" s="46" customFormat="1" ht="63" x14ac:dyDescent="0.25">
      <c r="A17" s="91" t="str">
        <f t="shared" ref="A17:A27" si="1">1&amp;E17</f>
        <v>1b</v>
      </c>
      <c r="B17" s="174"/>
      <c r="C17" s="302"/>
      <c r="D17" s="303"/>
      <c r="E17" s="75" t="s">
        <v>37</v>
      </c>
      <c r="F17" s="76" t="s">
        <v>38</v>
      </c>
      <c r="G17" s="100" t="s">
        <v>39</v>
      </c>
      <c r="H17" s="101" t="s">
        <v>210</v>
      </c>
      <c r="I17" s="94" t="str">
        <f t="shared" ref="I17:I59" si="2">+IF(G17="Si","Mantenimiento del control",IF(G17="En proceso","Oportunidad de mejora","Deficiencia de control"))</f>
        <v>Mantenimiento del control</v>
      </c>
      <c r="J17" s="95">
        <f t="shared" si="0"/>
        <v>20</v>
      </c>
      <c r="K17" s="93">
        <v>0.1234</v>
      </c>
      <c r="L17" s="93">
        <f t="shared" ref="L17:L59" si="3">+J17+K17</f>
        <v>20.1234</v>
      </c>
    </row>
    <row r="18" spans="1:32" s="46" customFormat="1" ht="47.25" x14ac:dyDescent="0.25">
      <c r="A18" s="91" t="str">
        <f t="shared" si="1"/>
        <v>1c</v>
      </c>
      <c r="B18" s="174"/>
      <c r="C18" s="302"/>
      <c r="D18" s="303"/>
      <c r="E18" s="75" t="s">
        <v>40</v>
      </c>
      <c r="F18" s="77" t="s">
        <v>41</v>
      </c>
      <c r="G18" s="100" t="s">
        <v>39</v>
      </c>
      <c r="H18" s="101" t="s">
        <v>211</v>
      </c>
      <c r="I18" s="96" t="str">
        <f t="shared" si="2"/>
        <v>Mantenimiento del control</v>
      </c>
      <c r="J18" s="95">
        <f t="shared" si="0"/>
        <v>20</v>
      </c>
      <c r="K18" s="93">
        <v>0.12345</v>
      </c>
      <c r="L18" s="93">
        <f t="shared" si="3"/>
        <v>20.123449999999998</v>
      </c>
    </row>
    <row r="19" spans="1:32" s="46" customFormat="1" ht="159" customHeight="1" x14ac:dyDescent="0.25">
      <c r="A19" s="91" t="str">
        <f t="shared" si="1"/>
        <v>1d</v>
      </c>
      <c r="B19" s="174"/>
      <c r="C19" s="302"/>
      <c r="D19" s="303"/>
      <c r="E19" s="75" t="s">
        <v>42</v>
      </c>
      <c r="F19" s="77" t="s">
        <v>43</v>
      </c>
      <c r="G19" s="100" t="s">
        <v>76</v>
      </c>
      <c r="H19" s="101" t="s">
        <v>199</v>
      </c>
      <c r="I19" s="96" t="str">
        <f t="shared" si="2"/>
        <v>Oportunidad de mejora</v>
      </c>
      <c r="J19" s="95">
        <f t="shared" si="0"/>
        <v>10</v>
      </c>
      <c r="K19" s="93">
        <v>0.123456</v>
      </c>
      <c r="L19" s="93">
        <f t="shared" si="3"/>
        <v>10.123455999999999</v>
      </c>
    </row>
    <row r="20" spans="1:32" s="46" customFormat="1" ht="85.35" customHeight="1" x14ac:dyDescent="0.25">
      <c r="A20" s="91" t="str">
        <f t="shared" si="1"/>
        <v>1e</v>
      </c>
      <c r="B20" s="174"/>
      <c r="C20" s="302"/>
      <c r="D20" s="303"/>
      <c r="E20" s="75" t="s">
        <v>44</v>
      </c>
      <c r="F20" s="77" t="s">
        <v>45</v>
      </c>
      <c r="G20" s="100" t="s">
        <v>39</v>
      </c>
      <c r="H20" s="101" t="s">
        <v>212</v>
      </c>
      <c r="I20" s="96" t="str">
        <f t="shared" si="2"/>
        <v>Mantenimiento del control</v>
      </c>
      <c r="J20" s="95">
        <f t="shared" si="0"/>
        <v>20</v>
      </c>
      <c r="K20" s="93">
        <v>0.12345678</v>
      </c>
      <c r="L20" s="93">
        <f t="shared" si="3"/>
        <v>20.123456780000001</v>
      </c>
    </row>
    <row r="21" spans="1:32" s="46" customFormat="1" ht="144.75" customHeight="1" x14ac:dyDescent="0.25">
      <c r="A21" s="91" t="str">
        <f t="shared" si="1"/>
        <v>1f</v>
      </c>
      <c r="B21" s="174"/>
      <c r="C21" s="302"/>
      <c r="D21" s="303"/>
      <c r="E21" s="75" t="s">
        <v>46</v>
      </c>
      <c r="F21" s="77" t="s">
        <v>47</v>
      </c>
      <c r="G21" s="100" t="s">
        <v>39</v>
      </c>
      <c r="H21" s="101" t="s">
        <v>240</v>
      </c>
      <c r="I21" s="96" t="str">
        <f t="shared" si="2"/>
        <v>Mantenimiento del control</v>
      </c>
      <c r="J21" s="95">
        <f t="shared" si="0"/>
        <v>20</v>
      </c>
      <c r="K21" s="93">
        <v>0.123456789</v>
      </c>
      <c r="L21" s="93">
        <f t="shared" si="3"/>
        <v>20.123456788999999</v>
      </c>
    </row>
    <row r="22" spans="1:32" s="46" customFormat="1" ht="80.25" customHeight="1" x14ac:dyDescent="0.25">
      <c r="A22" s="91" t="str">
        <f t="shared" si="1"/>
        <v>1g</v>
      </c>
      <c r="B22" s="174"/>
      <c r="C22" s="302"/>
      <c r="D22" s="303"/>
      <c r="E22" s="75" t="s">
        <v>48</v>
      </c>
      <c r="F22" s="77" t="s">
        <v>49</v>
      </c>
      <c r="G22" s="100" t="s">
        <v>39</v>
      </c>
      <c r="H22" s="101" t="s">
        <v>213</v>
      </c>
      <c r="I22" s="96" t="str">
        <f t="shared" si="2"/>
        <v>Mantenimiento del control</v>
      </c>
      <c r="J22" s="95">
        <f t="shared" si="0"/>
        <v>20</v>
      </c>
      <c r="K22" s="93">
        <v>0.12345678910000001</v>
      </c>
      <c r="L22" s="93">
        <f t="shared" si="3"/>
        <v>20.1234567891</v>
      </c>
    </row>
    <row r="23" spans="1:32" s="46" customFormat="1" ht="176.25" customHeight="1" x14ac:dyDescent="0.25">
      <c r="A23" s="91" t="str">
        <f t="shared" si="1"/>
        <v>1h</v>
      </c>
      <c r="B23" s="174"/>
      <c r="C23" s="302"/>
      <c r="D23" s="303"/>
      <c r="E23" s="75" t="s">
        <v>50</v>
      </c>
      <c r="F23" s="77" t="s">
        <v>51</v>
      </c>
      <c r="G23" s="100" t="s">
        <v>39</v>
      </c>
      <c r="H23" s="101" t="s">
        <v>214</v>
      </c>
      <c r="I23" s="96" t="str">
        <f t="shared" si="2"/>
        <v>Mantenimiento del control</v>
      </c>
      <c r="J23" s="95">
        <f t="shared" si="0"/>
        <v>20</v>
      </c>
      <c r="K23" s="93">
        <v>0.12345678911999999</v>
      </c>
      <c r="L23" s="93">
        <f t="shared" si="3"/>
        <v>20.123456789119999</v>
      </c>
    </row>
    <row r="24" spans="1:32" s="46" customFormat="1" ht="102.75" customHeight="1" x14ac:dyDescent="0.25">
      <c r="A24" s="91" t="str">
        <f t="shared" si="1"/>
        <v>1i</v>
      </c>
      <c r="B24" s="174"/>
      <c r="C24" s="302"/>
      <c r="D24" s="303"/>
      <c r="E24" s="75" t="s">
        <v>52</v>
      </c>
      <c r="F24" s="77" t="s">
        <v>53</v>
      </c>
      <c r="G24" s="100" t="s">
        <v>39</v>
      </c>
      <c r="H24" s="157" t="s">
        <v>242</v>
      </c>
      <c r="I24" s="96" t="str">
        <f t="shared" si="2"/>
        <v>Mantenimiento del control</v>
      </c>
      <c r="J24" s="95">
        <f t="shared" si="0"/>
        <v>20</v>
      </c>
      <c r="K24" s="93">
        <v>0.123456789123</v>
      </c>
      <c r="L24" s="93">
        <f t="shared" si="3"/>
        <v>20.123456789123001</v>
      </c>
    </row>
    <row r="25" spans="1:32" s="46" customFormat="1" ht="73.5" customHeight="1" x14ac:dyDescent="0.25">
      <c r="A25" s="91" t="str">
        <f t="shared" si="1"/>
        <v>1j</v>
      </c>
      <c r="B25" s="174"/>
      <c r="C25" s="302"/>
      <c r="D25" s="303"/>
      <c r="E25" s="75" t="s">
        <v>54</v>
      </c>
      <c r="F25" s="77" t="s">
        <v>55</v>
      </c>
      <c r="G25" s="100" t="s">
        <v>39</v>
      </c>
      <c r="H25" s="157" t="s">
        <v>241</v>
      </c>
      <c r="I25" s="96" t="str">
        <f t="shared" si="2"/>
        <v>Mantenimiento del control</v>
      </c>
      <c r="J25" s="95">
        <f t="shared" si="0"/>
        <v>20</v>
      </c>
      <c r="K25" s="93">
        <v>0.1234567891234</v>
      </c>
      <c r="L25" s="93">
        <f t="shared" si="3"/>
        <v>20.123456789123399</v>
      </c>
    </row>
    <row r="26" spans="1:32" s="46" customFormat="1" ht="57.75" customHeight="1" x14ac:dyDescent="0.25">
      <c r="A26" s="91" t="str">
        <f t="shared" si="1"/>
        <v>1k</v>
      </c>
      <c r="B26" s="174"/>
      <c r="C26" s="302"/>
      <c r="D26" s="303"/>
      <c r="E26" s="75" t="s">
        <v>56</v>
      </c>
      <c r="F26" s="77" t="s">
        <v>57</v>
      </c>
      <c r="G26" s="100" t="s">
        <v>39</v>
      </c>
      <c r="H26" s="101" t="s">
        <v>215</v>
      </c>
      <c r="I26" s="96" t="str">
        <f t="shared" si="2"/>
        <v>Mantenimiento del control</v>
      </c>
      <c r="J26" s="95">
        <f t="shared" si="0"/>
        <v>20</v>
      </c>
      <c r="K26" s="93">
        <v>0.12345678912345</v>
      </c>
      <c r="L26" s="93">
        <f t="shared" si="3"/>
        <v>20.123456789123448</v>
      </c>
    </row>
    <row r="27" spans="1:32" s="149" customFormat="1" ht="79.5" customHeight="1" thickBot="1" x14ac:dyDescent="0.3">
      <c r="A27" s="146" t="str">
        <f t="shared" si="1"/>
        <v>1l</v>
      </c>
      <c r="B27" s="175"/>
      <c r="C27" s="304"/>
      <c r="D27" s="305"/>
      <c r="E27" s="151" t="s">
        <v>58</v>
      </c>
      <c r="F27" s="150" t="s">
        <v>59</v>
      </c>
      <c r="G27" s="153" t="s">
        <v>39</v>
      </c>
      <c r="H27" s="158" t="s">
        <v>198</v>
      </c>
      <c r="I27" s="97" t="str">
        <f t="shared" si="2"/>
        <v>Mantenimiento del control</v>
      </c>
      <c r="J27" s="147">
        <f t="shared" si="0"/>
        <v>20</v>
      </c>
      <c r="K27" s="148">
        <v>0.12345678912345601</v>
      </c>
      <c r="L27" s="148">
        <f t="shared" si="3"/>
        <v>20.123456789123455</v>
      </c>
    </row>
    <row r="28" spans="1:32" s="46" customFormat="1" ht="157.5" customHeight="1" thickTop="1" x14ac:dyDescent="0.25">
      <c r="A28" s="91" t="str">
        <f>2&amp;E28</f>
        <v>2a</v>
      </c>
      <c r="B28" s="176" t="s">
        <v>60</v>
      </c>
      <c r="C28" s="306" t="s">
        <v>61</v>
      </c>
      <c r="D28" s="307" t="s">
        <v>62</v>
      </c>
      <c r="E28" s="152" t="s">
        <v>34</v>
      </c>
      <c r="F28" s="161" t="s">
        <v>63</v>
      </c>
      <c r="G28" s="144" t="s">
        <v>39</v>
      </c>
      <c r="H28" s="159" t="s">
        <v>200</v>
      </c>
      <c r="I28" s="145" t="str">
        <f t="shared" si="2"/>
        <v>Mantenimiento del control</v>
      </c>
      <c r="J28" s="93">
        <f>+IF(G28="Si",40,IF(G28="En proceso",30,20))</f>
        <v>40</v>
      </c>
      <c r="K28" s="93">
        <v>0.23</v>
      </c>
      <c r="L28" s="93">
        <f t="shared" si="3"/>
        <v>40.229999999999997</v>
      </c>
    </row>
    <row r="29" spans="1:32" s="46" customFormat="1" ht="69" customHeight="1" x14ac:dyDescent="0.25">
      <c r="A29" s="91" t="str">
        <f t="shared" ref="A29:A31" si="4">2&amp;E29</f>
        <v>2b</v>
      </c>
      <c r="B29" s="177"/>
      <c r="C29" s="308"/>
      <c r="D29" s="309"/>
      <c r="E29" s="75" t="s">
        <v>37</v>
      </c>
      <c r="F29" s="77" t="s">
        <v>64</v>
      </c>
      <c r="G29" s="100" t="s">
        <v>39</v>
      </c>
      <c r="H29" s="157" t="s">
        <v>216</v>
      </c>
      <c r="I29" s="96" t="str">
        <f t="shared" si="2"/>
        <v>Mantenimiento del control</v>
      </c>
      <c r="J29" s="93">
        <f>+IF(G29="Si",40,IF(G29="En proceso",30,20))</f>
        <v>40</v>
      </c>
      <c r="K29" s="93">
        <v>0.23400000000000001</v>
      </c>
      <c r="L29" s="93">
        <f t="shared" si="3"/>
        <v>40.234000000000002</v>
      </c>
    </row>
    <row r="30" spans="1:32" s="46" customFormat="1" ht="59.45" customHeight="1" x14ac:dyDescent="0.25">
      <c r="A30" s="91" t="str">
        <f t="shared" si="4"/>
        <v>2c</v>
      </c>
      <c r="B30" s="177"/>
      <c r="C30" s="308"/>
      <c r="D30" s="309"/>
      <c r="E30" s="75" t="s">
        <v>40</v>
      </c>
      <c r="F30" s="77" t="s">
        <v>65</v>
      </c>
      <c r="G30" s="100" t="s">
        <v>39</v>
      </c>
      <c r="H30" s="157" t="s">
        <v>217</v>
      </c>
      <c r="I30" s="96" t="str">
        <f t="shared" si="2"/>
        <v>Mantenimiento del control</v>
      </c>
      <c r="J30" s="93">
        <f>+IF(G30="Si",40,IF(G30="En proceso",30,20))</f>
        <v>40</v>
      </c>
      <c r="K30" s="93">
        <v>0.23449999999999999</v>
      </c>
      <c r="L30" s="93">
        <f t="shared" si="3"/>
        <v>40.234499999999997</v>
      </c>
    </row>
    <row r="31" spans="1:32" s="46" customFormat="1" ht="72.400000000000006" customHeight="1" thickBot="1" x14ac:dyDescent="0.3">
      <c r="A31" s="91" t="str">
        <f t="shared" si="4"/>
        <v>2d</v>
      </c>
      <c r="B31" s="178"/>
      <c r="C31" s="310"/>
      <c r="D31" s="311"/>
      <c r="E31" s="78" t="s">
        <v>42</v>
      </c>
      <c r="F31" s="79" t="s">
        <v>66</v>
      </c>
      <c r="G31" s="102" t="s">
        <v>39</v>
      </c>
      <c r="H31" s="162" t="s">
        <v>218</v>
      </c>
      <c r="I31" s="97" t="str">
        <f t="shared" si="2"/>
        <v>Mantenimiento del control</v>
      </c>
      <c r="J31" s="93">
        <f>+IF(G31="Si",40,IF(G31="En proceso",30,20))</f>
        <v>40</v>
      </c>
      <c r="K31" s="93">
        <v>0.23455999999999999</v>
      </c>
      <c r="L31" s="93">
        <f t="shared" si="3"/>
        <v>40.234560000000002</v>
      </c>
    </row>
    <row r="32" spans="1:32" s="46" customFormat="1" ht="89.25" customHeight="1" x14ac:dyDescent="0.25">
      <c r="A32" s="91" t="str">
        <f>3&amp;E32</f>
        <v>3a</v>
      </c>
      <c r="B32" s="179" t="s">
        <v>67</v>
      </c>
      <c r="C32" s="312" t="s">
        <v>61</v>
      </c>
      <c r="D32" s="313" t="s">
        <v>68</v>
      </c>
      <c r="E32" s="75" t="s">
        <v>34</v>
      </c>
      <c r="F32" s="77" t="s">
        <v>69</v>
      </c>
      <c r="G32" s="100" t="s">
        <v>39</v>
      </c>
      <c r="H32" s="157" t="s">
        <v>231</v>
      </c>
      <c r="I32" s="96" t="str">
        <f t="shared" si="2"/>
        <v>Mantenimiento del control</v>
      </c>
      <c r="J32" s="93">
        <f t="shared" ref="J32:J37" si="5">+IF(G32="Si",40,IF(G32="En proceso",30,20))</f>
        <v>40</v>
      </c>
      <c r="K32" s="98">
        <v>0.234567</v>
      </c>
      <c r="L32" s="93">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59.65" customHeight="1" x14ac:dyDescent="0.25">
      <c r="A33" s="91" t="str">
        <f t="shared" ref="A33:A34" si="7">3&amp;E33</f>
        <v>3b</v>
      </c>
      <c r="B33" s="179"/>
      <c r="C33" s="312"/>
      <c r="D33" s="313"/>
      <c r="E33" s="75" t="s">
        <v>37</v>
      </c>
      <c r="F33" s="76" t="s">
        <v>70</v>
      </c>
      <c r="G33" s="100" t="s">
        <v>39</v>
      </c>
      <c r="H33" s="101" t="s">
        <v>219</v>
      </c>
      <c r="I33" s="96" t="str">
        <f t="shared" si="2"/>
        <v>Mantenimiento del control</v>
      </c>
      <c r="J33" s="93">
        <f t="shared" si="5"/>
        <v>40</v>
      </c>
      <c r="K33" s="98">
        <v>0.23456779999999999</v>
      </c>
      <c r="L33" s="93">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82.5" customHeight="1" thickBot="1" x14ac:dyDescent="0.3">
      <c r="A34" s="91" t="str">
        <f t="shared" si="7"/>
        <v>3c</v>
      </c>
      <c r="B34" s="179"/>
      <c r="C34" s="312"/>
      <c r="D34" s="313"/>
      <c r="E34" s="75" t="s">
        <v>40</v>
      </c>
      <c r="F34" s="77" t="s">
        <v>71</v>
      </c>
      <c r="G34" s="100" t="s">
        <v>39</v>
      </c>
      <c r="H34" s="101" t="s">
        <v>201</v>
      </c>
      <c r="I34" s="96" t="str">
        <f t="shared" si="2"/>
        <v>Mantenimiento del control</v>
      </c>
      <c r="J34" s="93">
        <f t="shared" si="5"/>
        <v>40</v>
      </c>
      <c r="K34" s="98">
        <v>0.23456789</v>
      </c>
      <c r="L34" s="93">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55.5" customHeight="1" x14ac:dyDescent="0.25">
      <c r="A35" s="91" t="str">
        <f>4&amp;E35</f>
        <v>4a</v>
      </c>
      <c r="B35" s="180" t="s">
        <v>72</v>
      </c>
      <c r="C35" s="308" t="s">
        <v>61</v>
      </c>
      <c r="D35" s="309" t="s">
        <v>73</v>
      </c>
      <c r="E35" s="73" t="s">
        <v>34</v>
      </c>
      <c r="F35" s="74" t="s">
        <v>74</v>
      </c>
      <c r="G35" s="99" t="s">
        <v>39</v>
      </c>
      <c r="H35" s="156" t="s">
        <v>232</v>
      </c>
      <c r="I35" s="92" t="str">
        <f t="shared" si="2"/>
        <v>Mantenimiento del control</v>
      </c>
      <c r="J35" s="93">
        <f t="shared" si="5"/>
        <v>40</v>
      </c>
      <c r="K35" s="98">
        <v>0.23456789119999999</v>
      </c>
      <c r="L35" s="93">
        <f t="shared" si="6"/>
        <v>40.234567891200001</v>
      </c>
      <c r="M35" s="45"/>
      <c r="N35" s="45"/>
      <c r="O35" s="45"/>
      <c r="P35" s="45"/>
      <c r="Q35" s="45"/>
    </row>
    <row r="36" spans="1:32" s="46" customFormat="1" ht="106.5" customHeight="1" x14ac:dyDescent="0.25">
      <c r="A36" s="91" t="str">
        <f t="shared" ref="A36:A37" si="8">4&amp;E36</f>
        <v>4b</v>
      </c>
      <c r="B36" s="180"/>
      <c r="C36" s="308"/>
      <c r="D36" s="309"/>
      <c r="E36" s="75" t="s">
        <v>37</v>
      </c>
      <c r="F36" s="76" t="s">
        <v>75</v>
      </c>
      <c r="G36" s="100" t="s">
        <v>39</v>
      </c>
      <c r="H36" s="101" t="s">
        <v>233</v>
      </c>
      <c r="I36" s="96" t="str">
        <f t="shared" si="2"/>
        <v>Mantenimiento del control</v>
      </c>
      <c r="J36" s="93">
        <f t="shared" si="5"/>
        <v>40</v>
      </c>
      <c r="K36" s="98">
        <v>0.23456789122999999</v>
      </c>
      <c r="L36" s="93">
        <f t="shared" si="6"/>
        <v>40.23456789123</v>
      </c>
      <c r="M36" s="45"/>
      <c r="N36" s="45"/>
      <c r="O36" s="45"/>
      <c r="P36" s="45"/>
      <c r="Q36" s="45"/>
    </row>
    <row r="37" spans="1:32" s="46" customFormat="1" ht="72.95" customHeight="1" thickBot="1" x14ac:dyDescent="0.3">
      <c r="A37" s="91" t="str">
        <f t="shared" si="8"/>
        <v>4c</v>
      </c>
      <c r="B37" s="180"/>
      <c r="C37" s="308"/>
      <c r="D37" s="309"/>
      <c r="E37" s="75" t="s">
        <v>40</v>
      </c>
      <c r="F37" s="77" t="s">
        <v>77</v>
      </c>
      <c r="G37" s="100" t="s">
        <v>39</v>
      </c>
      <c r="H37" s="157" t="s">
        <v>220</v>
      </c>
      <c r="I37" s="96" t="str">
        <f t="shared" si="2"/>
        <v>Mantenimiento del control</v>
      </c>
      <c r="J37" s="93">
        <f t="shared" si="5"/>
        <v>40</v>
      </c>
      <c r="K37" s="98">
        <v>0.23456789123399999</v>
      </c>
      <c r="L37" s="93">
        <f t="shared" si="6"/>
        <v>40.234567891234001</v>
      </c>
      <c r="M37" s="45"/>
      <c r="N37" s="45"/>
      <c r="O37" s="45"/>
      <c r="P37" s="45"/>
      <c r="Q37" s="45"/>
    </row>
    <row r="38" spans="1:32" s="46" customFormat="1" ht="107.25" customHeight="1" x14ac:dyDescent="0.25">
      <c r="A38" s="91" t="str">
        <f>5&amp;E38</f>
        <v>5a</v>
      </c>
      <c r="B38" s="181" t="s">
        <v>78</v>
      </c>
      <c r="C38" s="314" t="s">
        <v>79</v>
      </c>
      <c r="D38" s="315" t="s">
        <v>80</v>
      </c>
      <c r="E38" s="73" t="s">
        <v>34</v>
      </c>
      <c r="F38" s="164" t="s">
        <v>81</v>
      </c>
      <c r="G38" s="99" t="s">
        <v>76</v>
      </c>
      <c r="H38" s="163" t="s">
        <v>221</v>
      </c>
      <c r="I38" s="92" t="str">
        <f t="shared" si="2"/>
        <v>Oportunidad de mejora</v>
      </c>
      <c r="J38" s="93">
        <f>+IF(G38="Si",60,IF(G38="En proceso",50,40))</f>
        <v>50</v>
      </c>
      <c r="K38" s="93">
        <v>0.31</v>
      </c>
      <c r="L38" s="93">
        <f t="shared" si="3"/>
        <v>50.31</v>
      </c>
    </row>
    <row r="39" spans="1:32" s="46" customFormat="1" ht="81.75" customHeight="1" x14ac:dyDescent="0.25">
      <c r="A39" s="91" t="str">
        <f t="shared" ref="A39:A42" si="9">5&amp;E39</f>
        <v>5b</v>
      </c>
      <c r="B39" s="182"/>
      <c r="C39" s="316"/>
      <c r="D39" s="317"/>
      <c r="E39" s="75" t="s">
        <v>37</v>
      </c>
      <c r="F39" s="165" t="s">
        <v>82</v>
      </c>
      <c r="G39" s="100" t="s">
        <v>76</v>
      </c>
      <c r="H39" s="101" t="s">
        <v>196</v>
      </c>
      <c r="I39" s="96" t="str">
        <f t="shared" si="2"/>
        <v>Oportunidad de mejora</v>
      </c>
      <c r="J39" s="93">
        <f>+IF(G39="Si",60,IF(G39="En proceso",50,40))</f>
        <v>50</v>
      </c>
      <c r="K39" s="93">
        <v>0.32300000000000001</v>
      </c>
      <c r="L39" s="93">
        <f t="shared" si="3"/>
        <v>50.323</v>
      </c>
    </row>
    <row r="40" spans="1:32" s="46" customFormat="1" ht="49.5" x14ac:dyDescent="0.25">
      <c r="A40" s="91" t="str">
        <f t="shared" si="9"/>
        <v>5c</v>
      </c>
      <c r="B40" s="182"/>
      <c r="C40" s="316"/>
      <c r="D40" s="317"/>
      <c r="E40" s="75" t="s">
        <v>40</v>
      </c>
      <c r="F40" s="165" t="s">
        <v>83</v>
      </c>
      <c r="G40" s="100" t="s">
        <v>76</v>
      </c>
      <c r="H40" s="101" t="s">
        <v>243</v>
      </c>
      <c r="I40" s="96" t="str">
        <f t="shared" si="2"/>
        <v>Oportunidad de mejora</v>
      </c>
      <c r="J40" s="93">
        <f>+IF(G40="Si",60,IF(G40="En proceso",50,40))</f>
        <v>50</v>
      </c>
      <c r="K40" s="93">
        <v>0.32400000000000001</v>
      </c>
      <c r="L40" s="93">
        <f t="shared" si="3"/>
        <v>50.323999999999998</v>
      </c>
    </row>
    <row r="41" spans="1:32" s="46" customFormat="1" ht="94.5" x14ac:dyDescent="0.25">
      <c r="A41" s="91" t="str">
        <f t="shared" si="9"/>
        <v>5d</v>
      </c>
      <c r="B41" s="182"/>
      <c r="C41" s="316"/>
      <c r="D41" s="317"/>
      <c r="E41" s="75" t="s">
        <v>42</v>
      </c>
      <c r="F41" s="165" t="s">
        <v>84</v>
      </c>
      <c r="G41" s="100" t="s">
        <v>39</v>
      </c>
      <c r="H41" s="101" t="s">
        <v>222</v>
      </c>
      <c r="I41" s="96" t="str">
        <f t="shared" si="2"/>
        <v>Mantenimiento del control</v>
      </c>
      <c r="J41" s="93">
        <f>+IF(G41="Si",60,IF(G41="En proceso",50,40))</f>
        <v>60</v>
      </c>
      <c r="K41" s="93">
        <v>0.32500000000000001</v>
      </c>
      <c r="L41" s="93">
        <f t="shared" si="3"/>
        <v>60.325000000000003</v>
      </c>
    </row>
    <row r="42" spans="1:32" s="46" customFormat="1" ht="118.5" customHeight="1" thickBot="1" x14ac:dyDescent="0.3">
      <c r="A42" s="91" t="str">
        <f t="shared" si="9"/>
        <v>5e</v>
      </c>
      <c r="B42" s="183"/>
      <c r="C42" s="318"/>
      <c r="D42" s="319"/>
      <c r="E42" s="78" t="s">
        <v>44</v>
      </c>
      <c r="F42" s="79" t="s">
        <v>85</v>
      </c>
      <c r="G42" s="102" t="s">
        <v>39</v>
      </c>
      <c r="H42" s="160" t="s">
        <v>223</v>
      </c>
      <c r="I42" s="97" t="str">
        <f t="shared" si="2"/>
        <v>Mantenimiento del control</v>
      </c>
      <c r="J42" s="93">
        <f>+IF(G42="Si",60,IF(G42="En proceso",50,40))</f>
        <v>60</v>
      </c>
      <c r="K42" s="93">
        <v>0.32600000000000001</v>
      </c>
      <c r="L42" s="93">
        <f t="shared" si="3"/>
        <v>60.326000000000001</v>
      </c>
    </row>
    <row r="43" spans="1:32" s="46" customFormat="1" ht="45" customHeight="1" x14ac:dyDescent="0.25">
      <c r="A43" s="91" t="str">
        <f>6&amp;E43</f>
        <v>6a</v>
      </c>
      <c r="B43" s="167" t="s">
        <v>86</v>
      </c>
      <c r="C43" s="320" t="s">
        <v>87</v>
      </c>
      <c r="D43" s="321" t="s">
        <v>88</v>
      </c>
      <c r="E43" s="73" t="s">
        <v>34</v>
      </c>
      <c r="F43" s="74" t="s">
        <v>89</v>
      </c>
      <c r="G43" s="99" t="s">
        <v>39</v>
      </c>
      <c r="H43" s="156" t="s">
        <v>202</v>
      </c>
      <c r="I43" s="92" t="str">
        <f t="shared" si="2"/>
        <v>Mantenimiento del control</v>
      </c>
      <c r="J43" s="93">
        <f t="shared" ref="J43:J49" si="10">+IF(G43="Si",80,IF(G43="En proceso",70,60))</f>
        <v>80</v>
      </c>
      <c r="K43" s="93">
        <v>0.41199999999999998</v>
      </c>
      <c r="L43" s="93">
        <f t="shared" si="3"/>
        <v>80.412000000000006</v>
      </c>
    </row>
    <row r="44" spans="1:32" s="46" customFormat="1" ht="129" customHeight="1" x14ac:dyDescent="0.25">
      <c r="A44" s="91" t="str">
        <f t="shared" ref="A44:A49" si="11">6&amp;E44</f>
        <v>6b</v>
      </c>
      <c r="B44" s="168"/>
      <c r="C44" s="322"/>
      <c r="D44" s="323"/>
      <c r="E44" s="75" t="s">
        <v>37</v>
      </c>
      <c r="F44" s="77" t="s">
        <v>90</v>
      </c>
      <c r="G44" s="100" t="s">
        <v>39</v>
      </c>
      <c r="H44" s="101" t="s">
        <v>234</v>
      </c>
      <c r="I44" s="96" t="str">
        <f t="shared" si="2"/>
        <v>Mantenimiento del control</v>
      </c>
      <c r="J44" s="93">
        <f t="shared" si="10"/>
        <v>80</v>
      </c>
      <c r="K44" s="93">
        <v>0.4123</v>
      </c>
      <c r="L44" s="93">
        <f t="shared" si="3"/>
        <v>80.412300000000002</v>
      </c>
    </row>
    <row r="45" spans="1:32" s="46" customFormat="1" ht="86.25" customHeight="1" x14ac:dyDescent="0.25">
      <c r="A45" s="91" t="str">
        <f t="shared" si="11"/>
        <v>6c</v>
      </c>
      <c r="B45" s="168"/>
      <c r="C45" s="322"/>
      <c r="D45" s="323"/>
      <c r="E45" s="75" t="s">
        <v>40</v>
      </c>
      <c r="F45" s="77" t="s">
        <v>91</v>
      </c>
      <c r="G45" s="100" t="s">
        <v>39</v>
      </c>
      <c r="H45" s="101" t="s">
        <v>224</v>
      </c>
      <c r="I45" s="96" t="str">
        <f t="shared" si="2"/>
        <v>Mantenimiento del control</v>
      </c>
      <c r="J45" s="93">
        <f t="shared" si="10"/>
        <v>80</v>
      </c>
      <c r="K45" s="93">
        <v>0.41233999999999998</v>
      </c>
      <c r="L45" s="93">
        <f t="shared" si="3"/>
        <v>80.41234</v>
      </c>
    </row>
    <row r="46" spans="1:32" s="46" customFormat="1" ht="102" customHeight="1" x14ac:dyDescent="0.25">
      <c r="A46" s="91" t="str">
        <f t="shared" si="11"/>
        <v>6d</v>
      </c>
      <c r="B46" s="168"/>
      <c r="C46" s="322"/>
      <c r="D46" s="323"/>
      <c r="E46" s="75" t="s">
        <v>42</v>
      </c>
      <c r="F46" s="77" t="s">
        <v>92</v>
      </c>
      <c r="G46" s="100" t="s">
        <v>39</v>
      </c>
      <c r="H46" s="101" t="s">
        <v>203</v>
      </c>
      <c r="I46" s="96" t="str">
        <f t="shared" si="2"/>
        <v>Mantenimiento del control</v>
      </c>
      <c r="J46" s="93">
        <f t="shared" si="10"/>
        <v>80</v>
      </c>
      <c r="K46" s="93">
        <v>0.41234500000000002</v>
      </c>
      <c r="L46" s="93">
        <f t="shared" si="3"/>
        <v>80.412345000000002</v>
      </c>
    </row>
    <row r="47" spans="1:32" s="46" customFormat="1" ht="63" x14ac:dyDescent="0.25">
      <c r="A47" s="91" t="str">
        <f t="shared" si="11"/>
        <v>6e</v>
      </c>
      <c r="B47" s="168"/>
      <c r="C47" s="322"/>
      <c r="D47" s="323"/>
      <c r="E47" s="75" t="s">
        <v>44</v>
      </c>
      <c r="F47" s="77" t="s">
        <v>93</v>
      </c>
      <c r="G47" s="100" t="s">
        <v>39</v>
      </c>
      <c r="H47" s="101" t="s">
        <v>225</v>
      </c>
      <c r="I47" s="96" t="str">
        <f t="shared" si="2"/>
        <v>Mantenimiento del control</v>
      </c>
      <c r="J47" s="93">
        <f t="shared" si="10"/>
        <v>80</v>
      </c>
      <c r="K47" s="93">
        <v>0.41234559999999998</v>
      </c>
      <c r="L47" s="93">
        <f t="shared" si="3"/>
        <v>80.412345599999995</v>
      </c>
    </row>
    <row r="48" spans="1:32" s="46" customFormat="1" ht="63" x14ac:dyDescent="0.25">
      <c r="A48" s="91" t="str">
        <f t="shared" si="11"/>
        <v>6f</v>
      </c>
      <c r="B48" s="168"/>
      <c r="C48" s="322"/>
      <c r="D48" s="323"/>
      <c r="E48" s="75" t="s">
        <v>46</v>
      </c>
      <c r="F48" s="77" t="s">
        <v>94</v>
      </c>
      <c r="G48" s="100" t="s">
        <v>39</v>
      </c>
      <c r="H48" s="101" t="s">
        <v>192</v>
      </c>
      <c r="I48" s="96" t="str">
        <f t="shared" si="2"/>
        <v>Mantenimiento del control</v>
      </c>
      <c r="J48" s="93">
        <f t="shared" si="10"/>
        <v>80</v>
      </c>
      <c r="K48" s="93">
        <v>0.41234567</v>
      </c>
      <c r="L48" s="93">
        <f t="shared" si="3"/>
        <v>80.412345669999993</v>
      </c>
    </row>
    <row r="49" spans="1:17" s="46" customFormat="1" ht="66.75" thickBot="1" x14ac:dyDescent="0.3">
      <c r="A49" s="91" t="str">
        <f t="shared" si="11"/>
        <v>6g</v>
      </c>
      <c r="B49" s="169"/>
      <c r="C49" s="324"/>
      <c r="D49" s="325"/>
      <c r="E49" s="78" t="s">
        <v>48</v>
      </c>
      <c r="F49" s="79" t="s">
        <v>95</v>
      </c>
      <c r="G49" s="102" t="s">
        <v>76</v>
      </c>
      <c r="H49" s="337" t="s">
        <v>226</v>
      </c>
      <c r="I49" s="97" t="str">
        <f t="shared" si="2"/>
        <v>Oportunidad de mejora</v>
      </c>
      <c r="J49" s="93">
        <f t="shared" si="10"/>
        <v>70</v>
      </c>
      <c r="K49" s="93">
        <v>0.41234567799999999</v>
      </c>
      <c r="L49" s="93">
        <f t="shared" si="3"/>
        <v>70.412345677999994</v>
      </c>
    </row>
    <row r="50" spans="1:17" s="46" customFormat="1" ht="70.5" customHeight="1" x14ac:dyDescent="0.25">
      <c r="A50" s="91" t="str">
        <f>7&amp;E50</f>
        <v>7a</v>
      </c>
      <c r="B50" s="170" t="s">
        <v>96</v>
      </c>
      <c r="C50" s="326" t="s">
        <v>97</v>
      </c>
      <c r="D50" s="327" t="s">
        <v>98</v>
      </c>
      <c r="E50" s="73" t="s">
        <v>34</v>
      </c>
      <c r="F50" s="74" t="s">
        <v>99</v>
      </c>
      <c r="G50" s="99" t="s">
        <v>39</v>
      </c>
      <c r="H50" s="156" t="s">
        <v>227</v>
      </c>
      <c r="I50" s="92" t="str">
        <f t="shared" si="2"/>
        <v>Mantenimiento del control</v>
      </c>
      <c r="J50" s="93">
        <f>+IF(G50="Si",120,IF(G50="En proceso",100,80))</f>
        <v>120</v>
      </c>
      <c r="K50" s="93">
        <v>0.85099999999999998</v>
      </c>
      <c r="L50" s="93">
        <f t="shared" si="3"/>
        <v>120.851</v>
      </c>
    </row>
    <row r="51" spans="1:17" s="46" customFormat="1" ht="94.5" x14ac:dyDescent="0.25">
      <c r="A51" s="91" t="str">
        <f t="shared" ref="A51:A53" si="12">7&amp;E51</f>
        <v>7d</v>
      </c>
      <c r="B51" s="171"/>
      <c r="C51" s="328"/>
      <c r="D51" s="329"/>
      <c r="E51" s="75" t="s">
        <v>42</v>
      </c>
      <c r="F51" s="77" t="s">
        <v>100</v>
      </c>
      <c r="G51" s="100" t="s">
        <v>39</v>
      </c>
      <c r="H51" s="101" t="s">
        <v>193</v>
      </c>
      <c r="I51" s="96" t="str">
        <f t="shared" si="2"/>
        <v>Mantenimiento del control</v>
      </c>
      <c r="J51" s="93">
        <f t="shared" ref="J51:J59" si="13">+IF(G51="Si",120,IF(G51="En proceso",100,80))</f>
        <v>120</v>
      </c>
      <c r="K51" s="93">
        <v>0.85119999999999996</v>
      </c>
      <c r="L51" s="93">
        <f t="shared" si="3"/>
        <v>120.85120000000001</v>
      </c>
    </row>
    <row r="52" spans="1:17" s="46" customFormat="1" ht="99.75" customHeight="1" x14ac:dyDescent="0.25">
      <c r="A52" s="91" t="str">
        <f t="shared" si="12"/>
        <v>7f</v>
      </c>
      <c r="B52" s="171"/>
      <c r="C52" s="328"/>
      <c r="D52" s="329"/>
      <c r="E52" s="75" t="s">
        <v>46</v>
      </c>
      <c r="F52" s="77" t="s">
        <v>101</v>
      </c>
      <c r="G52" s="100" t="s">
        <v>76</v>
      </c>
      <c r="H52" s="101" t="s">
        <v>228</v>
      </c>
      <c r="I52" s="96" t="str">
        <f t="shared" si="2"/>
        <v>Oportunidad de mejora</v>
      </c>
      <c r="J52" s="93">
        <f t="shared" si="13"/>
        <v>100</v>
      </c>
      <c r="K52" s="93">
        <v>0.85123000000000004</v>
      </c>
      <c r="L52" s="93">
        <f t="shared" si="3"/>
        <v>100.85123</v>
      </c>
    </row>
    <row r="53" spans="1:17" s="46" customFormat="1" ht="99.75" thickBot="1" x14ac:dyDescent="0.3">
      <c r="A53" s="91" t="str">
        <f t="shared" si="12"/>
        <v>7g</v>
      </c>
      <c r="B53" s="172"/>
      <c r="C53" s="330"/>
      <c r="D53" s="331"/>
      <c r="E53" s="78" t="s">
        <v>48</v>
      </c>
      <c r="F53" s="79" t="s">
        <v>102</v>
      </c>
      <c r="G53" s="102" t="s">
        <v>76</v>
      </c>
      <c r="H53" s="160" t="s">
        <v>197</v>
      </c>
      <c r="I53" s="97" t="str">
        <f t="shared" si="2"/>
        <v>Oportunidad de mejora</v>
      </c>
      <c r="J53" s="93">
        <f t="shared" si="13"/>
        <v>100</v>
      </c>
      <c r="K53" s="93">
        <v>0.85123400000000005</v>
      </c>
      <c r="L53" s="93">
        <f t="shared" si="3"/>
        <v>100.85123400000001</v>
      </c>
    </row>
    <row r="54" spans="1:17" s="46" customFormat="1" ht="79.150000000000006" customHeight="1" thickBot="1" x14ac:dyDescent="0.3">
      <c r="A54" s="91" t="str">
        <f>8&amp;E54</f>
        <v>8h</v>
      </c>
      <c r="B54" s="143" t="s">
        <v>103</v>
      </c>
      <c r="C54" s="332" t="s">
        <v>97</v>
      </c>
      <c r="D54" s="333" t="s">
        <v>104</v>
      </c>
      <c r="E54" s="73" t="s">
        <v>50</v>
      </c>
      <c r="F54" s="74" t="s">
        <v>105</v>
      </c>
      <c r="G54" s="99" t="s">
        <v>36</v>
      </c>
      <c r="H54" s="156" t="s">
        <v>194</v>
      </c>
      <c r="I54" s="92" t="str">
        <f t="shared" si="2"/>
        <v>Deficiencia de control</v>
      </c>
      <c r="J54" s="93">
        <f t="shared" si="13"/>
        <v>80</v>
      </c>
      <c r="K54" s="93">
        <v>0.85123450000000001</v>
      </c>
      <c r="L54" s="93">
        <f t="shared" si="3"/>
        <v>80.851234500000004</v>
      </c>
    </row>
    <row r="55" spans="1:17" s="46" customFormat="1" ht="92.25" customHeight="1" x14ac:dyDescent="0.25">
      <c r="A55" s="91" t="str">
        <f>9&amp;E55</f>
        <v>9a</v>
      </c>
      <c r="B55" s="170" t="s">
        <v>106</v>
      </c>
      <c r="C55" s="326" t="s">
        <v>97</v>
      </c>
      <c r="D55" s="327" t="s">
        <v>107</v>
      </c>
      <c r="E55" s="73" t="s">
        <v>34</v>
      </c>
      <c r="F55" s="74" t="s">
        <v>108</v>
      </c>
      <c r="G55" s="99" t="s">
        <v>76</v>
      </c>
      <c r="H55" s="338" t="s">
        <v>229</v>
      </c>
      <c r="I55" s="92" t="str">
        <f t="shared" si="2"/>
        <v>Oportunidad de mejora</v>
      </c>
      <c r="J55" s="93">
        <f t="shared" si="13"/>
        <v>100</v>
      </c>
      <c r="K55" s="98">
        <v>0.85123455999999997</v>
      </c>
      <c r="L55" s="93">
        <f t="shared" si="3"/>
        <v>100.85123455999999</v>
      </c>
      <c r="M55" s="45"/>
      <c r="N55" s="45"/>
      <c r="O55" s="45"/>
      <c r="P55" s="45"/>
      <c r="Q55" s="45"/>
    </row>
    <row r="56" spans="1:17" s="46" customFormat="1" ht="69.75" customHeight="1" x14ac:dyDescent="0.25">
      <c r="A56" s="91" t="str">
        <f t="shared" ref="A56:A59" si="14">9&amp;E56</f>
        <v>9b</v>
      </c>
      <c r="B56" s="171"/>
      <c r="C56" s="328"/>
      <c r="D56" s="329"/>
      <c r="E56" s="75" t="s">
        <v>37</v>
      </c>
      <c r="F56" s="77" t="s">
        <v>109</v>
      </c>
      <c r="G56" s="100" t="s">
        <v>76</v>
      </c>
      <c r="H56" s="339" t="s">
        <v>204</v>
      </c>
      <c r="I56" s="96" t="str">
        <f t="shared" si="2"/>
        <v>Oportunidad de mejora</v>
      </c>
      <c r="J56" s="93">
        <f t="shared" si="13"/>
        <v>100</v>
      </c>
      <c r="K56" s="98">
        <v>0.851234567</v>
      </c>
      <c r="L56" s="93">
        <f t="shared" si="3"/>
        <v>100.85123456700001</v>
      </c>
      <c r="M56" s="45"/>
      <c r="N56" s="45"/>
      <c r="O56" s="45"/>
      <c r="P56" s="45"/>
      <c r="Q56" s="45"/>
    </row>
    <row r="57" spans="1:17" s="46" customFormat="1" ht="76.5" customHeight="1" x14ac:dyDescent="0.25">
      <c r="A57" s="91" t="str">
        <f t="shared" si="14"/>
        <v>9c</v>
      </c>
      <c r="B57" s="171"/>
      <c r="C57" s="328"/>
      <c r="D57" s="329"/>
      <c r="E57" s="75" t="s">
        <v>40</v>
      </c>
      <c r="F57" s="77" t="s">
        <v>110</v>
      </c>
      <c r="G57" s="100" t="s">
        <v>39</v>
      </c>
      <c r="H57" s="101" t="s">
        <v>230</v>
      </c>
      <c r="I57" s="96" t="str">
        <f t="shared" si="2"/>
        <v>Mantenimiento del control</v>
      </c>
      <c r="J57" s="93">
        <f t="shared" si="13"/>
        <v>120</v>
      </c>
      <c r="K57" s="98">
        <v>0.85123456779999995</v>
      </c>
      <c r="L57" s="93">
        <f t="shared" si="3"/>
        <v>120.85123456780001</v>
      </c>
      <c r="M57" s="45"/>
      <c r="N57" s="45"/>
      <c r="O57" s="45"/>
      <c r="P57" s="45"/>
      <c r="Q57" s="45"/>
    </row>
    <row r="58" spans="1:17" s="46" customFormat="1" ht="33.75" customHeight="1" x14ac:dyDescent="0.25">
      <c r="A58" s="91" t="str">
        <f t="shared" si="14"/>
        <v>9d</v>
      </c>
      <c r="B58" s="171"/>
      <c r="C58" s="328"/>
      <c r="D58" s="329"/>
      <c r="E58" s="75" t="s">
        <v>42</v>
      </c>
      <c r="F58" s="77" t="s">
        <v>111</v>
      </c>
      <c r="G58" s="100" t="s">
        <v>39</v>
      </c>
      <c r="H58" s="101" t="s">
        <v>195</v>
      </c>
      <c r="I58" s="96" t="str">
        <f t="shared" si="2"/>
        <v>Mantenimiento del control</v>
      </c>
      <c r="J58" s="93">
        <f t="shared" si="13"/>
        <v>120</v>
      </c>
      <c r="K58" s="98">
        <v>0.85123456788999996</v>
      </c>
      <c r="L58" s="93">
        <f t="shared" si="3"/>
        <v>120.85123456789</v>
      </c>
      <c r="M58" s="45"/>
      <c r="N58" s="45"/>
      <c r="O58" s="45"/>
      <c r="P58" s="45"/>
      <c r="Q58" s="45"/>
    </row>
    <row r="59" spans="1:17" s="46" customFormat="1" ht="101.25" customHeight="1" thickBot="1" x14ac:dyDescent="0.3">
      <c r="A59" s="91" t="str">
        <f t="shared" si="14"/>
        <v>9e</v>
      </c>
      <c r="B59" s="172"/>
      <c r="C59" s="328"/>
      <c r="D59" s="334"/>
      <c r="E59" s="78" t="s">
        <v>44</v>
      </c>
      <c r="F59" s="79" t="s">
        <v>112</v>
      </c>
      <c r="G59" s="102" t="s">
        <v>39</v>
      </c>
      <c r="H59" s="160" t="s">
        <v>239</v>
      </c>
      <c r="I59" s="97" t="str">
        <f t="shared" si="2"/>
        <v>Mantenimiento del control</v>
      </c>
      <c r="J59" s="93">
        <f t="shared" si="13"/>
        <v>120</v>
      </c>
      <c r="K59" s="98">
        <v>0.85123456789100005</v>
      </c>
      <c r="L59" s="93">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rintOptions horizontalCentered="1"/>
  <pageMargins left="0.70866141732283472" right="0.70866141732283472" top="0.74803149606299213" bottom="0.74803149606299213" header="0.31496062992125984" footer="0.31496062992125984"/>
  <pageSetup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40" zoomScale="98" zoomScaleNormal="98" workbookViewId="0">
      <selection activeCell="E53" sqref="E53"/>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33" t="s">
        <v>113</v>
      </c>
      <c r="D7" s="234"/>
      <c r="E7" s="234"/>
      <c r="F7" s="234"/>
      <c r="G7" s="234"/>
      <c r="H7" s="234"/>
      <c r="I7" s="234"/>
      <c r="J7" s="234"/>
      <c r="K7" s="235"/>
    </row>
    <row r="8" spans="1:11" s="1" customFormat="1" ht="15.75" thickBot="1" x14ac:dyDescent="0.3">
      <c r="C8" s="36"/>
      <c r="D8" s="36"/>
      <c r="E8" s="37"/>
      <c r="F8" s="37"/>
      <c r="G8" s="37"/>
      <c r="H8" s="37"/>
      <c r="I8" s="47"/>
      <c r="J8" s="37"/>
      <c r="K8" s="37"/>
    </row>
    <row r="9" spans="1:11" ht="21" thickBot="1" x14ac:dyDescent="0.3">
      <c r="A9" s="1"/>
      <c r="B9" s="1"/>
      <c r="C9" s="192" t="s">
        <v>15</v>
      </c>
      <c r="D9" s="193"/>
      <c r="E9" s="193" t="s">
        <v>16</v>
      </c>
      <c r="F9" s="204"/>
      <c r="G9" s="37"/>
      <c r="H9" s="37"/>
      <c r="I9" s="47"/>
      <c r="J9" s="37"/>
      <c r="K9" s="37"/>
    </row>
    <row r="10" spans="1:11" ht="54" customHeight="1" x14ac:dyDescent="0.25">
      <c r="A10" s="1"/>
      <c r="B10" s="1"/>
      <c r="C10" s="205" t="s">
        <v>17</v>
      </c>
      <c r="D10" s="206"/>
      <c r="E10" s="207" t="s">
        <v>18</v>
      </c>
      <c r="F10" s="208"/>
      <c r="G10" s="38"/>
      <c r="H10" s="39">
        <v>1</v>
      </c>
      <c r="I10" s="47"/>
      <c r="J10" s="37"/>
      <c r="K10" s="37"/>
    </row>
    <row r="11" spans="1:11" ht="46.5" customHeight="1" x14ac:dyDescent="0.25">
      <c r="A11" s="1"/>
      <c r="B11" s="1"/>
      <c r="C11" s="194" t="s">
        <v>19</v>
      </c>
      <c r="D11" s="195"/>
      <c r="E11" s="196" t="s">
        <v>114</v>
      </c>
      <c r="F11" s="197"/>
      <c r="G11" s="40" t="s">
        <v>115</v>
      </c>
      <c r="H11" s="39">
        <v>0.75</v>
      </c>
      <c r="I11" s="47"/>
      <c r="J11" s="37"/>
      <c r="K11" s="37"/>
    </row>
    <row r="12" spans="1:11" ht="70.5" customHeight="1" thickBot="1" x14ac:dyDescent="0.3">
      <c r="A12" s="1"/>
      <c r="B12" s="1"/>
      <c r="C12" s="198" t="s">
        <v>21</v>
      </c>
      <c r="D12" s="199"/>
      <c r="E12" s="200" t="s">
        <v>116</v>
      </c>
      <c r="F12" s="201"/>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41" t="s">
        <v>117</v>
      </c>
      <c r="D17" s="243" t="s">
        <v>118</v>
      </c>
      <c r="E17" s="244"/>
      <c r="F17" s="245" t="s">
        <v>119</v>
      </c>
      <c r="G17" s="247" t="s">
        <v>120</v>
      </c>
      <c r="H17" s="35"/>
      <c r="I17" s="236" t="s">
        <v>121</v>
      </c>
      <c r="J17" s="236" t="s">
        <v>122</v>
      </c>
    </row>
    <row r="18" spans="1:10" ht="36" customHeight="1" thickBot="1" x14ac:dyDescent="0.3">
      <c r="A18" s="1"/>
      <c r="B18" s="1"/>
      <c r="C18" s="242"/>
      <c r="D18" s="103" t="s">
        <v>123</v>
      </c>
      <c r="E18" s="104" t="s">
        <v>27</v>
      </c>
      <c r="F18" s="246"/>
      <c r="G18" s="248"/>
      <c r="H18" s="35"/>
      <c r="I18" s="237"/>
      <c r="J18" s="237"/>
    </row>
    <row r="19" spans="1:10" ht="65.25" customHeight="1" x14ac:dyDescent="0.25">
      <c r="A19" s="1"/>
      <c r="B19" s="1"/>
      <c r="C19" s="122">
        <v>1</v>
      </c>
      <c r="D19" s="238" t="s">
        <v>32</v>
      </c>
      <c r="E19" s="105" t="str">
        <f>+IFERROR(INDEX(Hoja1!$E$2:$E$45,MATCH('Análisis Resultados'!C19,Hoja1!$H$2:$H$45,0)),"")</f>
        <v>Una estructura organizacional formalizada (organigrama)</v>
      </c>
      <c r="F19" s="106" t="str">
        <f>+IFERROR(VLOOKUP(C19,Hoja1!$H$2:$I$45,2,0),"")</f>
        <v>En proceso</v>
      </c>
      <c r="G19" s="107"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23">
        <f>+IF(F19="Si",1,IF(F19="En proceso",0.5,0))</f>
        <v>0.5</v>
      </c>
      <c r="J19" s="251">
        <f>+AVERAGE(I19:I30)</f>
        <v>0.95833333333333337</v>
      </c>
    </row>
    <row r="20" spans="1:10" ht="45" x14ac:dyDescent="0.25">
      <c r="A20" s="1"/>
      <c r="B20" s="1"/>
      <c r="C20" s="122">
        <v>2</v>
      </c>
      <c r="D20" s="239"/>
      <c r="E20" s="108" t="str">
        <f>+IFERROR(INDEX(Hoja1!$E$2:$E$45,MATCH('Análisis Resultados'!C20,Hoja1!$H$2:$H$45,0)),"")</f>
        <v>Documento interno o adopción del MECI actualizado</v>
      </c>
      <c r="F20" s="109" t="str">
        <f>+IFERROR(VLOOKUP(C20,Hoja1!$H$2:$I$45,2,0),"")</f>
        <v>Si</v>
      </c>
      <c r="G20" s="110"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24">
        <f t="shared" ref="I20:I62" si="1">+IF(F20="Si",1,IF(F20="En proceso",0.5,0))</f>
        <v>1</v>
      </c>
      <c r="J20" s="252"/>
    </row>
    <row r="21" spans="1:10" ht="57" x14ac:dyDescent="0.25">
      <c r="A21" s="1"/>
      <c r="B21" s="1"/>
      <c r="C21" s="122">
        <v>3</v>
      </c>
      <c r="D21" s="239"/>
      <c r="E21" s="108" t="str">
        <f>+IFERROR(INDEX(Hoja1!$E$2:$E$45,MATCH('Análisis Resultados'!C21,Hoja1!$H$2:$H$45,0)),"")</f>
        <v>Un documento tal como un código de ética, integridad u otro que formalice los estándares de conducta, los principios institucionales o los valores del servicio público</v>
      </c>
      <c r="F21" s="109" t="str">
        <f>+IFERROR(VLOOKUP(C21,Hoja1!$H$2:$I$45,2,0),"")</f>
        <v>Si</v>
      </c>
      <c r="G21" s="110" t="str">
        <f t="shared" si="0"/>
        <v>Existe requerimiento pero se requiere actividades  dirigidas a su mantenimiento dentro del marco de las lineas de defensa.</v>
      </c>
      <c r="I21" s="124">
        <f t="shared" si="1"/>
        <v>1</v>
      </c>
      <c r="J21" s="252"/>
    </row>
    <row r="22" spans="1:10" ht="56.25" customHeight="1" x14ac:dyDescent="0.25">
      <c r="A22" s="1"/>
      <c r="B22" s="1"/>
      <c r="C22" s="122">
        <v>4</v>
      </c>
      <c r="D22" s="239"/>
      <c r="E22" s="108" t="str">
        <f>+IFERROR(INDEX(Hoja1!$E$2:$E$45,MATCH('Análisis Resultados'!C22,Hoja1!$H$2:$H$45,0)),"")</f>
        <v>Planes, programas y proyectos de acuerdo con las normas que rigen y atendiendo con su propósito fundamental institucional (misión)</v>
      </c>
      <c r="F22" s="109" t="str">
        <f>+IFERROR(VLOOKUP(C22,Hoja1!$H$2:$I$45,2,0),"")</f>
        <v>Si</v>
      </c>
      <c r="G22" s="110" t="str">
        <f t="shared" si="0"/>
        <v>Existe requerimiento pero se requiere actividades  dirigidas a su mantenimiento dentro del marco de las lineas de defensa.</v>
      </c>
      <c r="I22" s="124">
        <f t="shared" si="1"/>
        <v>1</v>
      </c>
      <c r="J22" s="252"/>
    </row>
    <row r="23" spans="1:10" ht="45" x14ac:dyDescent="0.25">
      <c r="A23" s="1"/>
      <c r="B23" s="1"/>
      <c r="C23" s="122">
        <v>5</v>
      </c>
      <c r="D23" s="239"/>
      <c r="E23" s="108" t="str">
        <f>+IFERROR(INDEX(Hoja1!$E$2:$E$45,MATCH('Análisis Resultados'!C23,Hoja1!$H$2:$H$45,0)),"")</f>
        <v>Un manual de funciones que describa los empleos de la entidad</v>
      </c>
      <c r="F23" s="109" t="str">
        <f>+IFERROR(VLOOKUP(C23,Hoja1!$H$2:$I$45,2,0),"")</f>
        <v>Si</v>
      </c>
      <c r="G23" s="110" t="str">
        <f t="shared" si="0"/>
        <v>Existe requerimiento pero se requiere actividades  dirigidas a su mantenimiento dentro del marco de las lineas de defensa.</v>
      </c>
      <c r="I23" s="124">
        <f t="shared" si="1"/>
        <v>1</v>
      </c>
      <c r="J23" s="252"/>
    </row>
    <row r="24" spans="1:10" ht="45" x14ac:dyDescent="0.25">
      <c r="A24" s="1"/>
      <c r="B24" s="1"/>
      <c r="C24" s="122">
        <v>6</v>
      </c>
      <c r="D24" s="239"/>
      <c r="E24" s="108" t="str">
        <f>+IFERROR(INDEX(Hoja1!$E$2:$E$45,MATCH('Análisis Resultados'!C24,Hoja1!$H$2:$H$45,0)),"")</f>
        <v>La documentación de sus procesos y procedimientos o bien una lista de actividades principales que permitan conocer el estado de su gestión</v>
      </c>
      <c r="F24" s="109" t="str">
        <f>+IFERROR(VLOOKUP(C24,Hoja1!$H$2:$I$45,2,0),"")</f>
        <v>Si</v>
      </c>
      <c r="G24" s="110" t="str">
        <f t="shared" si="0"/>
        <v>Existe requerimiento pero se requiere actividades  dirigidas a su mantenimiento dentro del marco de las lineas de defensa.</v>
      </c>
      <c r="I24" s="124">
        <f t="shared" si="1"/>
        <v>1</v>
      </c>
      <c r="J24" s="252"/>
    </row>
    <row r="25" spans="1:10" ht="45" x14ac:dyDescent="0.25">
      <c r="A25" s="1"/>
      <c r="B25" s="1"/>
      <c r="C25" s="122">
        <v>7</v>
      </c>
      <c r="D25" s="239"/>
      <c r="E25" s="108" t="str">
        <f>+IFERROR(INDEX(Hoja1!$E$2:$E$45,MATCH('Análisis Resultados'!C25,Hoja1!$H$2:$H$45,0)),"")</f>
        <v>Vinculación de los servidores públicos de acuerdo con el marco normativo que les rige (carrera administrativa, libre nombramiento y remoción, entre otros)</v>
      </c>
      <c r="F25" s="109" t="str">
        <f>+IFERROR(VLOOKUP(C25,Hoja1!$H$2:$I$45,2,0),"")</f>
        <v>Si</v>
      </c>
      <c r="G25" s="110" t="str">
        <f t="shared" si="0"/>
        <v>Existe requerimiento pero se requiere actividades  dirigidas a su mantenimiento dentro del marco de las lineas de defensa.</v>
      </c>
      <c r="I25" s="124">
        <f t="shared" si="1"/>
        <v>1</v>
      </c>
      <c r="J25" s="252"/>
    </row>
    <row r="26" spans="1:10" ht="45" x14ac:dyDescent="0.25">
      <c r="A26" s="1"/>
      <c r="B26" s="1"/>
      <c r="C26" s="122">
        <v>8</v>
      </c>
      <c r="D26" s="239"/>
      <c r="E26" s="108" t="str">
        <f>+IFERROR(INDEX(Hoja1!$E$2:$E$45,MATCH('Análisis Resultados'!C26,Hoja1!$H$2:$H$45,0)),"")</f>
        <v>Procesos de inducción, capacitación y bienestar social para sus servidores públicos, de manera directa o en asociación con otras entidades municipales</v>
      </c>
      <c r="F26" s="109" t="str">
        <f>+IFERROR(VLOOKUP(C26,Hoja1!$H$2:$I$45,2,0),"")</f>
        <v>Si</v>
      </c>
      <c r="G26" s="110" t="str">
        <f t="shared" si="0"/>
        <v>Existe requerimiento pero se requiere actividades  dirigidas a su mantenimiento dentro del marco de las lineas de defensa.</v>
      </c>
      <c r="I26" s="124">
        <f t="shared" si="1"/>
        <v>1</v>
      </c>
      <c r="J26" s="252"/>
    </row>
    <row r="27" spans="1:10" ht="45" x14ac:dyDescent="0.25">
      <c r="A27" s="1"/>
      <c r="B27" s="1"/>
      <c r="C27" s="122">
        <v>9</v>
      </c>
      <c r="D27" s="239"/>
      <c r="E27" s="108" t="str">
        <f>+IFERROR(INDEX(Hoja1!$E$2:$E$45,MATCH('Análisis Resultados'!C27,Hoja1!$H$2:$H$45,0)),"")</f>
        <v>Evaluación a los servidores públicos de acuerdo con el marco normativo que le rige</v>
      </c>
      <c r="F27" s="109" t="str">
        <f>+IFERROR(VLOOKUP(C27,Hoja1!$H$2:$I$45,2,0),"")</f>
        <v>Si</v>
      </c>
      <c r="G27" s="110" t="str">
        <f t="shared" si="0"/>
        <v>Existe requerimiento pero se requiere actividades  dirigidas a su mantenimiento dentro del marco de las lineas de defensa.</v>
      </c>
      <c r="I27" s="124">
        <f t="shared" si="1"/>
        <v>1</v>
      </c>
      <c r="J27" s="252"/>
    </row>
    <row r="28" spans="1:10" ht="45" x14ac:dyDescent="0.25">
      <c r="A28" s="1"/>
      <c r="B28" s="1"/>
      <c r="C28" s="122">
        <v>10</v>
      </c>
      <c r="D28" s="239"/>
      <c r="E28" s="108" t="str">
        <f>+IFERROR(INDEX(Hoja1!$E$2:$E$45,MATCH('Análisis Resultados'!C28,Hoja1!$H$2:$H$45,0)),"")</f>
        <v>Procesos de desvinculación de servidores de acuerdo con lo previsto en la Constitución Política y las leyes</v>
      </c>
      <c r="F28" s="109" t="str">
        <f>+IFERROR(VLOOKUP(C28,Hoja1!$H$2:$I$45,2,0),"")</f>
        <v>Si</v>
      </c>
      <c r="G28" s="110" t="str">
        <f t="shared" si="0"/>
        <v>Existe requerimiento pero se requiere actividades  dirigidas a su mantenimiento dentro del marco de las lineas de defensa.</v>
      </c>
      <c r="I28" s="124">
        <f t="shared" si="1"/>
        <v>1</v>
      </c>
      <c r="J28" s="252"/>
    </row>
    <row r="29" spans="1:10" ht="45" x14ac:dyDescent="0.25">
      <c r="A29" s="1"/>
      <c r="B29" s="1"/>
      <c r="C29" s="122">
        <v>11</v>
      </c>
      <c r="D29" s="239"/>
      <c r="E29" s="108" t="str">
        <f>+IFERROR(INDEX(Hoja1!$E$2:$E$45,MATCH('Análisis Resultados'!C29,Hoja1!$H$2:$H$45,0)),"")</f>
        <v>Mecanismos de rendición de cuentas a la ciudadanía</v>
      </c>
      <c r="F29" s="109" t="str">
        <f>+IFERROR(VLOOKUP(C29,Hoja1!$H$2:$I$45,2,0),"")</f>
        <v>Si</v>
      </c>
      <c r="G29" s="110"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24">
        <f t="shared" si="1"/>
        <v>1</v>
      </c>
      <c r="J29" s="252"/>
    </row>
    <row r="30" spans="1:10" ht="45.75" thickBot="1" x14ac:dyDescent="0.3">
      <c r="A30" s="1"/>
      <c r="B30" s="1"/>
      <c r="C30" s="122">
        <v>12</v>
      </c>
      <c r="D30" s="240"/>
      <c r="E30" s="111" t="str">
        <f>+IFERROR(INDEX(Hoja1!$E$2:$E$45,MATCH('Análisis Resultados'!C30,Hoja1!$H$2:$H$45,0)),"")</f>
        <v>Presentación oportuna de sus informes de gestión a las autoridades competentes</v>
      </c>
      <c r="F30" s="112" t="str">
        <f>+IFERROR(VLOOKUP(C30,Hoja1!$H$2:$I$45,2,0),"")</f>
        <v>Si</v>
      </c>
      <c r="G30" s="113" t="str">
        <f t="shared" si="0"/>
        <v>Existe requerimiento pero se requiere actividades  dirigidas a su mantenimiento dentro del marco de las lineas de defensa.</v>
      </c>
      <c r="I30" s="125">
        <f t="shared" si="1"/>
        <v>1</v>
      </c>
      <c r="J30" s="253"/>
    </row>
    <row r="31" spans="1:10" ht="45" customHeight="1" x14ac:dyDescent="0.25">
      <c r="A31" s="1"/>
      <c r="B31" s="1"/>
      <c r="C31" s="122">
        <v>13</v>
      </c>
      <c r="D31" s="265" t="s">
        <v>61</v>
      </c>
      <c r="E31" s="105" t="str">
        <f>+IFERROR(INDEX(Hoja1!$E$2:$E$45,MATCH('Análisis Resultados'!C31,Hoja1!$H$2:$H$45,0)),"")</f>
        <v>La identificación de cambios en su entorno que pueden generar consecuencias negativas en su gestión</v>
      </c>
      <c r="F31" s="106" t="str">
        <f>+IFERROR(VLOOKUP(C31,Hoja1!$H$2:$I$45,2,0),"")</f>
        <v>Si</v>
      </c>
      <c r="G31" s="107" t="str">
        <f t="shared" si="0"/>
        <v>Existe requerimiento pero se requiere actividades  dirigidas a su mantenimiento dentro del marco de las lineas de defensa.</v>
      </c>
      <c r="I31" s="123">
        <f t="shared" si="1"/>
        <v>1</v>
      </c>
      <c r="J31" s="249">
        <f>+AVERAGE(I31:I40)</f>
        <v>1</v>
      </c>
    </row>
    <row r="32" spans="1:10" ht="57" customHeight="1" x14ac:dyDescent="0.25">
      <c r="A32" s="1"/>
      <c r="B32" s="1"/>
      <c r="C32" s="122">
        <v>14</v>
      </c>
      <c r="D32" s="266"/>
      <c r="E32" s="108" t="str">
        <f>+IFERROR(INDEX(Hoja1!$E$2:$E$45,MATCH('Análisis Resultados'!C32,Hoja1!$H$2:$H$45,0)),"")</f>
        <v>La identificación de aquellos problemas o aspectos que pueden afectar el cumplimiento de los planes de la entidad y en general su gestión institucional (riesgos)</v>
      </c>
      <c r="F32" s="109" t="str">
        <f>+IFERROR(VLOOKUP(C32,Hoja1!$H$2:$I$45,2,0),"")</f>
        <v>Si</v>
      </c>
      <c r="G32" s="110" t="str">
        <f t="shared" si="0"/>
        <v>Existe requerimiento pero se requiere actividades  dirigidas a su mantenimiento dentro del marco de las lineas de defensa.</v>
      </c>
      <c r="I32" s="124">
        <f t="shared" si="1"/>
        <v>1</v>
      </c>
      <c r="J32" s="250"/>
    </row>
    <row r="33" spans="1:10" ht="54" customHeight="1" x14ac:dyDescent="0.25">
      <c r="A33" s="1"/>
      <c r="B33" s="1"/>
      <c r="C33" s="122">
        <v>15</v>
      </c>
      <c r="D33" s="266"/>
      <c r="E33" s="108" t="str">
        <f>+IFERROR(INDEX(Hoja1!$E$2:$E$45,MATCH('Análisis Resultados'!C33,Hoja1!$H$2:$H$45,0)),"")</f>
        <v>La identificación  de los riesgos relacionados con posibles actos de corrupción en el ejercicio de sus funciones</v>
      </c>
      <c r="F33" s="109" t="str">
        <f>+IFERROR(VLOOKUP(C33,Hoja1!$H$2:$I$45,2,0),"")</f>
        <v>Si</v>
      </c>
      <c r="G33" s="110" t="str">
        <f t="shared" si="0"/>
        <v>Existe requerimiento pero se requiere actividades  dirigidas a su mantenimiento dentro del marco de las lineas de defensa.</v>
      </c>
      <c r="I33" s="124">
        <f t="shared" si="1"/>
        <v>1</v>
      </c>
      <c r="J33" s="250"/>
    </row>
    <row r="34" spans="1:10" ht="45" x14ac:dyDescent="0.25">
      <c r="A34" s="1"/>
      <c r="B34" s="1"/>
      <c r="C34" s="122">
        <v>16</v>
      </c>
      <c r="D34" s="266"/>
      <c r="E34" s="108" t="str">
        <f>+IFERROR(INDEX(Hoja1!$E$2:$E$45,MATCH('Análisis Resultados'!C34,Hoja1!$H$2:$H$45,0)),"")</f>
        <v>Si su capacidad e infraestructura lo permite, identificación de riesgos asociados a las tecnologías de la información y las comunicaciones</v>
      </c>
      <c r="F34" s="109" t="str">
        <f>+IFERROR(VLOOKUP(C34,Hoja1!$H$2:$I$45,2,0),"")</f>
        <v>Si</v>
      </c>
      <c r="G34" s="110" t="str">
        <f t="shared" si="0"/>
        <v>Existe requerimiento pero se requiere actividades  dirigidas a su mantenimiento dentro del marco de las lineas de defensa.</v>
      </c>
      <c r="I34" s="124">
        <f t="shared" si="1"/>
        <v>1</v>
      </c>
      <c r="J34" s="250"/>
    </row>
    <row r="35" spans="1:10" ht="67.5" customHeight="1" x14ac:dyDescent="0.25">
      <c r="A35" s="1"/>
      <c r="B35" s="1"/>
      <c r="C35" s="122">
        <v>17</v>
      </c>
      <c r="D35" s="266"/>
      <c r="E35" s="108" t="str">
        <f>+IFERROR(INDEX(Hoja1!$E$2:$E$45,MATCH('Análisis Resultados'!C35,Hoja1!$H$2:$H$45,0)),"")</f>
        <v>Hacen seguimiento a los problemas (riesgos)  que pueden afectar el cumplimiento de sus procesos, programas o proyectos a cargo</v>
      </c>
      <c r="F35" s="109" t="str">
        <f>+IFERROR(VLOOKUP(C35,Hoja1!$H$2:$I$45,2,0),"")</f>
        <v>Si</v>
      </c>
      <c r="G35" s="110" t="str">
        <f t="shared" si="0"/>
        <v>Existe requerimiento pero se requiere actividades  dirigidas a su mantenimiento dentro del marco de las lineas de defensa.</v>
      </c>
      <c r="I35" s="124">
        <f t="shared" si="1"/>
        <v>1</v>
      </c>
      <c r="J35" s="250"/>
    </row>
    <row r="36" spans="1:10" ht="45" x14ac:dyDescent="0.25">
      <c r="A36" s="1"/>
      <c r="B36" s="1"/>
      <c r="C36" s="122">
        <v>18</v>
      </c>
      <c r="D36" s="266"/>
      <c r="E36" s="108" t="str">
        <f>+IFERROR(INDEX(Hoja1!$E$2:$E$45,MATCH('Análisis Resultados'!C36,Hoja1!$H$2:$H$45,0)),"")</f>
        <v>Informan de manera periódica a quien corresponda sobre el desempeño de las actividades de gestión de riesgos</v>
      </c>
      <c r="F36" s="109" t="str">
        <f>+IFERROR(VLOOKUP(C36,Hoja1!$H$2:$I$45,2,0),"")</f>
        <v>Si</v>
      </c>
      <c r="G36" s="110" t="str">
        <f t="shared" si="0"/>
        <v>Existe requerimiento pero se requiere actividades  dirigidas a su mantenimiento dentro del marco de las lineas de defensa.</v>
      </c>
      <c r="I36" s="124">
        <f t="shared" si="1"/>
        <v>1</v>
      </c>
      <c r="J36" s="250"/>
    </row>
    <row r="37" spans="1:10" ht="57" customHeight="1" x14ac:dyDescent="0.25">
      <c r="A37" s="1"/>
      <c r="B37" s="1"/>
      <c r="C37" s="122">
        <v>19</v>
      </c>
      <c r="D37" s="266"/>
      <c r="E37" s="108" t="str">
        <f>+IFERROR(INDEX(Hoja1!$E$2:$E$45,MATCH('Análisis Resultados'!C37,Hoja1!$H$2:$H$45,0)),"")</f>
        <v>Identifican deficiencias en las maneras de  controlar los riesgos o problemas en sus procesos, programas o proyectos, y propone los ajustes necesarios</v>
      </c>
      <c r="F37" s="109" t="str">
        <f>+IFERROR(VLOOKUP(C37,Hoja1!$H$2:$I$45,2,0),"")</f>
        <v>Si</v>
      </c>
      <c r="G37" s="110" t="str">
        <f t="shared" si="0"/>
        <v>Existe requerimiento pero se requiere actividades  dirigidas a su mantenimiento dentro del marco de las lineas de defensa.</v>
      </c>
      <c r="I37" s="124">
        <f t="shared" si="1"/>
        <v>1</v>
      </c>
      <c r="J37" s="250"/>
    </row>
    <row r="38" spans="1:10" ht="45" x14ac:dyDescent="0.25">
      <c r="A38" s="1"/>
      <c r="B38" s="1"/>
      <c r="C38" s="122">
        <v>20</v>
      </c>
      <c r="D38" s="266"/>
      <c r="E38" s="108" t="str">
        <f>+IFERROR(INDEX(Hoja1!$E$2:$E$45,MATCH('Análisis Resultados'!C38,Hoja1!$H$2:$H$45,0)),"")</f>
        <v>Se definen espacios de reunión para conocerlos y proponer acciones para su solución</v>
      </c>
      <c r="F38" s="109" t="str">
        <f>+IFERROR(VLOOKUP(C38,Hoja1!$H$2:$I$45,2,0),"")</f>
        <v>Si</v>
      </c>
      <c r="G38" s="110" t="str">
        <f t="shared" si="0"/>
        <v>Existe requerimiento pero se requiere actividades  dirigidas a su mantenimiento dentro del marco de las lineas de defensa.</v>
      </c>
      <c r="I38" s="124">
        <f t="shared" si="1"/>
        <v>1</v>
      </c>
      <c r="J38" s="250"/>
    </row>
    <row r="39" spans="1:10" ht="45" x14ac:dyDescent="0.25">
      <c r="A39" s="1"/>
      <c r="B39" s="1"/>
      <c r="C39" s="122">
        <v>21</v>
      </c>
      <c r="D39" s="266"/>
      <c r="E39" s="108" t="str">
        <f>+IFERROR(INDEX(Hoja1!$E$2:$E$45,MATCH('Análisis Resultados'!C39,Hoja1!$H$2:$H$45,0)),"")</f>
        <v>Cada líder del equipo autónomamente toma las acciones para solucionarlos.</v>
      </c>
      <c r="F39" s="109" t="str">
        <f>+IFERROR(VLOOKUP(C39,Hoja1!$H$2:$I$45,2,0),"")</f>
        <v>Si</v>
      </c>
      <c r="G39" s="110" t="str">
        <f t="shared" si="0"/>
        <v>Existe requerimiento pero se requiere actividades  dirigidas a su mantenimiento dentro del marco de las lineas de defensa.</v>
      </c>
      <c r="I39" s="124">
        <f t="shared" si="1"/>
        <v>1</v>
      </c>
      <c r="J39" s="250"/>
    </row>
    <row r="40" spans="1:10" ht="45.75" thickBot="1" x14ac:dyDescent="0.3">
      <c r="A40" s="1"/>
      <c r="B40" s="1"/>
      <c r="C40" s="122">
        <v>22</v>
      </c>
      <c r="D40" s="266"/>
      <c r="E40" s="114" t="str">
        <f>+IFERROR(INDEX(Hoja1!$E$2:$E$45,MATCH('Análisis Resultados'!C40,Hoja1!$H$2:$H$45,0)),"")</f>
        <v>Solamente hasta que un organismo de control actúa se definen acciones de mejora.</v>
      </c>
      <c r="F40" s="115" t="str">
        <f>+IFERROR(VLOOKUP(C40,Hoja1!$H$2:$I$45,2,0),"")</f>
        <v>Si</v>
      </c>
      <c r="G40" s="116" t="str">
        <f t="shared" si="0"/>
        <v>Existe requerimiento pero se requiere actividades  dirigidas a su mantenimiento dentro del marco de las lineas de defensa.</v>
      </c>
      <c r="I40" s="126">
        <f t="shared" si="1"/>
        <v>1</v>
      </c>
      <c r="J40" s="250"/>
    </row>
    <row r="41" spans="1:10" ht="87.75" customHeight="1" x14ac:dyDescent="0.25">
      <c r="A41" s="1"/>
      <c r="B41" s="1"/>
      <c r="C41" s="122">
        <v>23</v>
      </c>
      <c r="D41" s="261" t="s">
        <v>79</v>
      </c>
      <c r="E41" s="105" t="str">
        <f>+IFERROR(INDEX(Hoja1!$E$2:$E$45,MATCH('Análisis Resultados'!C41,Hoja1!$H$2:$H$45,0)),"")</f>
        <v>La definición de acciones o actividades para para dar tratamiento a los problemas identificados (mitigación de riesgos), incluyendo aquellos asociados a posibles actos de corrupción</v>
      </c>
      <c r="F41" s="106" t="str">
        <f>+IFERROR(VLOOKUP(C41,Hoja1!$H$2:$I$45,2,0),"")</f>
        <v>En proceso</v>
      </c>
      <c r="G41" s="107" t="str">
        <f t="shared" si="0"/>
        <v>Se encuentra en proceso, pero requiere continuar con acciones dirigidas a contar con dicho aspecto de control.</v>
      </c>
      <c r="I41" s="123">
        <f t="shared" si="1"/>
        <v>0.5</v>
      </c>
      <c r="J41" s="249">
        <f>+AVERAGE(I41:I45)</f>
        <v>0.7</v>
      </c>
    </row>
    <row r="42" spans="1:10" ht="57" x14ac:dyDescent="0.25">
      <c r="A42" s="1"/>
      <c r="B42" s="1"/>
      <c r="C42" s="122">
        <v>24</v>
      </c>
      <c r="D42" s="262"/>
      <c r="E42" s="108" t="str">
        <f>+IFERROR(INDEX(Hoja1!$E$2:$E$45,MATCH('Análisis Resultados'!C42,Hoja1!$H$2:$H$45,0)),"")</f>
        <v>Mecanismos de verificación de si se están o no mitigando los riesgos, o en su defecto, elaboración de planes de contingencia para subsanar sus consecuencias</v>
      </c>
      <c r="F42" s="109" t="str">
        <f>+IFERROR(VLOOKUP(C42,Hoja1!$H$2:$I$45,2,0),"")</f>
        <v>En proceso</v>
      </c>
      <c r="G42" s="110" t="str">
        <f t="shared" si="0"/>
        <v>Se encuentra en proceso, pero requiere continuar con acciones dirigidas a contar con dicho aspecto de control.</v>
      </c>
      <c r="I42" s="124">
        <f t="shared" si="1"/>
        <v>0.5</v>
      </c>
      <c r="J42" s="250"/>
    </row>
    <row r="43" spans="1:10" ht="85.5" customHeight="1" x14ac:dyDescent="0.25">
      <c r="A43" s="1"/>
      <c r="B43" s="1"/>
      <c r="C43" s="122">
        <v>25</v>
      </c>
      <c r="D43" s="262"/>
      <c r="E43" s="108" t="str">
        <f>+IFERROR(INDEX(Hoja1!$E$2:$E$45,MATCH('Análisis Resultados'!C43,Hoja1!$H$2:$H$45,0)),"")</f>
        <v>Planes, acciones o estrategias que permitan subsanar las consecuencias de la materialización de los riesgos, cuando se presentan</v>
      </c>
      <c r="F43" s="109" t="str">
        <f>+IFERROR(VLOOKUP(C43,Hoja1!$H$2:$I$45,2,0),"")</f>
        <v>En proceso</v>
      </c>
      <c r="G43" s="110" t="str">
        <f t="shared" si="0"/>
        <v>Se encuentra en proceso, pero requiere continuar con acciones dirigidas a contar con dicho aspecto de control.</v>
      </c>
      <c r="I43" s="124">
        <f t="shared" si="1"/>
        <v>0.5</v>
      </c>
      <c r="J43" s="250"/>
    </row>
    <row r="44" spans="1:10" ht="57" customHeight="1" x14ac:dyDescent="0.25">
      <c r="A44" s="1"/>
      <c r="B44" s="1"/>
      <c r="C44" s="122">
        <v>26</v>
      </c>
      <c r="D44" s="262"/>
      <c r="E44" s="108"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09" t="str">
        <f>+IFERROR(VLOOKUP(C44,Hoja1!$H$2:$I$45,2,0),"")</f>
        <v>Si</v>
      </c>
      <c r="G44" s="110" t="str">
        <f t="shared" si="0"/>
        <v>Existe requerimiento pero se requiere actividades  dirigidas a su mantenimiento dentro del marco de las lineas de defensa.</v>
      </c>
      <c r="I44" s="124">
        <f t="shared" si="1"/>
        <v>1</v>
      </c>
      <c r="J44" s="250"/>
    </row>
    <row r="45" spans="1:10" ht="57" customHeight="1" thickBot="1" x14ac:dyDescent="0.3">
      <c r="A45" s="1"/>
      <c r="B45" s="1"/>
      <c r="C45" s="122">
        <v>27</v>
      </c>
      <c r="D45" s="263"/>
      <c r="E45" s="111" t="str">
        <f>+IFERROR(INDEX(Hoja1!$E$2:$E$45,MATCH('Análisis Resultados'!C45,Hoja1!$H$2:$H$45,0)),"")</f>
        <v>Un plan anticorrupción y de servicio al ciudadano con los temas que le aplican, publicado en algún medio para conocimiento de la ciudadanía</v>
      </c>
      <c r="F45" s="112" t="str">
        <f>+IFERROR(VLOOKUP(C45,Hoja1!$H$2:$I$45,2,0),"")</f>
        <v>Si</v>
      </c>
      <c r="G45" s="113" t="str">
        <f t="shared" si="0"/>
        <v>Existe requerimiento pero se requiere actividades  dirigidas a su mantenimiento dentro del marco de las lineas de defensa.</v>
      </c>
      <c r="I45" s="125">
        <f t="shared" si="1"/>
        <v>1</v>
      </c>
      <c r="J45" s="264"/>
    </row>
    <row r="46" spans="1:10" ht="63.75" customHeight="1" x14ac:dyDescent="0.25">
      <c r="A46" s="1"/>
      <c r="B46" s="1"/>
      <c r="C46" s="122">
        <v>28</v>
      </c>
      <c r="D46" s="260" t="s">
        <v>87</v>
      </c>
      <c r="E46" s="117" t="str">
        <f>+IFERROR(INDEX(Hoja1!$E$2:$E$45,MATCH('Análisis Resultados'!C46,Hoja1!$H$2:$H$45,0)),"")</f>
        <v>Si su capacidad e infraestructura lo permite, tecnologías de la información y las comunicaciones que soporten estos procesos</v>
      </c>
      <c r="F46" s="118" t="str">
        <f>+IFERROR(VLOOKUP(C46,Hoja1!$H$2:$I$45,2,0),"")</f>
        <v>En proceso</v>
      </c>
      <c r="G46" s="119" t="str">
        <f t="shared" si="0"/>
        <v>Se encuentra en proceso, pero requiere continuar con acciones dirigidas a contar con dicho aspecto de control.</v>
      </c>
      <c r="I46" s="127">
        <f t="shared" si="1"/>
        <v>0.5</v>
      </c>
      <c r="J46" s="250">
        <f>+AVERAGE(I46:I52)</f>
        <v>0.9285714285714286</v>
      </c>
    </row>
    <row r="47" spans="1:10" ht="92.25" customHeight="1" x14ac:dyDescent="0.25">
      <c r="A47" s="1"/>
      <c r="B47" s="1"/>
      <c r="C47" s="122">
        <v>29</v>
      </c>
      <c r="D47" s="260"/>
      <c r="E47" s="108" t="str">
        <f>+IFERROR(INDEX(Hoja1!$E$2:$E$45,MATCH('Análisis Resultados'!C47,Hoja1!$H$2:$H$45,0)),"")</f>
        <v>Responsables de la información institucional</v>
      </c>
      <c r="F47" s="109" t="str">
        <f>+IFERROR(VLOOKUP(C47,Hoja1!$H$2:$I$45,2,0),"")</f>
        <v>Si</v>
      </c>
      <c r="G47" s="120" t="str">
        <f t="shared" si="0"/>
        <v>Existe requerimiento pero se requiere actividades  dirigidas a su mantenimiento dentro del marco de las lineas de defensa.</v>
      </c>
      <c r="I47" s="128">
        <f t="shared" si="1"/>
        <v>1</v>
      </c>
      <c r="J47" s="250"/>
    </row>
    <row r="48" spans="1:10" ht="66.75" customHeight="1" x14ac:dyDescent="0.25">
      <c r="A48" s="1"/>
      <c r="B48" s="1"/>
      <c r="C48" s="122">
        <v>30</v>
      </c>
      <c r="D48" s="260"/>
      <c r="E48" s="108" t="str">
        <f>+IFERROR(INDEX(Hoja1!$E$2:$E$45,MATCH('Análisis Resultados'!C48,Hoja1!$H$2:$H$45,0)),"")</f>
        <v>Canales de comunicación con los ciudadanos</v>
      </c>
      <c r="F48" s="109" t="str">
        <f>+IFERROR(VLOOKUP(C48,Hoja1!$H$2:$I$45,2,0),"")</f>
        <v>Si</v>
      </c>
      <c r="G48" s="120" t="str">
        <f t="shared" si="0"/>
        <v>Existe requerimiento pero se requiere actividades  dirigidas a su mantenimiento dentro del marco de las lineas de defensa.</v>
      </c>
      <c r="I48" s="128">
        <f t="shared" si="1"/>
        <v>1</v>
      </c>
      <c r="J48" s="250"/>
    </row>
    <row r="49" spans="1:10" ht="60" customHeight="1" x14ac:dyDescent="0.25">
      <c r="A49" s="1"/>
      <c r="B49" s="1"/>
      <c r="C49" s="122">
        <v>31</v>
      </c>
      <c r="D49" s="260"/>
      <c r="E49" s="108" t="str">
        <f>+IFERROR(INDEX(Hoja1!$E$2:$E$45,MATCH('Análisis Resultados'!C49,Hoja1!$H$2:$H$45,0)),"")</f>
        <v>Canales de comunicación o mecanismos de reporte de información a otros organismos gubernamentales o de control</v>
      </c>
      <c r="F49" s="109" t="str">
        <f>+IFERROR(VLOOKUP(C49,Hoja1!$H$2:$I$45,2,0),"")</f>
        <v>Si</v>
      </c>
      <c r="G49" s="120" t="str">
        <f t="shared" si="0"/>
        <v>Existe requerimiento pero se requiere actividades  dirigidas a su mantenimiento dentro del marco de las lineas de defensa.</v>
      </c>
      <c r="I49" s="128">
        <f t="shared" si="1"/>
        <v>1</v>
      </c>
      <c r="J49" s="250"/>
    </row>
    <row r="50" spans="1:10" ht="57" customHeight="1" x14ac:dyDescent="0.25">
      <c r="A50" s="1"/>
      <c r="B50" s="1"/>
      <c r="C50" s="122">
        <v>32</v>
      </c>
      <c r="D50" s="260"/>
      <c r="E50" s="108" t="str">
        <f>+IFERROR(INDEX(Hoja1!$E$2:$E$45,MATCH('Análisis Resultados'!C50,Hoja1!$H$2:$H$45,0)),"")</f>
        <v xml:space="preserve">Lineamientos para dar tratamiento a la información de carácter reservado </v>
      </c>
      <c r="F50" s="109" t="str">
        <f>+IFERROR(VLOOKUP(C50,Hoja1!$H$2:$I$45,2,0),"")</f>
        <v>Si</v>
      </c>
      <c r="G50" s="120" t="str">
        <f t="shared" si="0"/>
        <v>Existe requerimiento pero se requiere actividades  dirigidas a su mantenimiento dentro del marco de las lineas de defensa.</v>
      </c>
      <c r="I50" s="128">
        <f t="shared" si="1"/>
        <v>1</v>
      </c>
      <c r="J50" s="250"/>
    </row>
    <row r="51" spans="1:10" ht="57" customHeight="1" x14ac:dyDescent="0.25">
      <c r="A51" s="1"/>
      <c r="B51" s="1"/>
      <c r="C51" s="122">
        <v>33</v>
      </c>
      <c r="D51" s="260"/>
      <c r="E51" s="108" t="str">
        <f>+IFERROR(INDEX(Hoja1!$E$2:$E$45,MATCH('Análisis Resultados'!C51,Hoja1!$H$2:$H$45,0)),"")</f>
        <v>Identificación de información que produce en el marco de su gestión (Para los ciudadanos, organismos de control, organismos gubernamentales, entre otros)</v>
      </c>
      <c r="F51" s="109" t="str">
        <f>+IFERROR(VLOOKUP(C51,Hoja1!$H$2:$I$45,2,0),"")</f>
        <v>Si</v>
      </c>
      <c r="G51" s="120" t="str">
        <f t="shared" si="0"/>
        <v>Existe requerimiento pero se requiere actividades  dirigidas a su mantenimiento dentro del marco de las lineas de defensa.</v>
      </c>
      <c r="I51" s="128">
        <f t="shared" si="1"/>
        <v>1</v>
      </c>
      <c r="J51" s="250"/>
    </row>
    <row r="52" spans="1:10" ht="45.75" thickBot="1" x14ac:dyDescent="0.3">
      <c r="A52" s="1"/>
      <c r="B52" s="1"/>
      <c r="C52" s="122">
        <v>34</v>
      </c>
      <c r="D52" s="260"/>
      <c r="E52" s="114" t="str">
        <f>+IFERROR(INDEX(Hoja1!$E$2:$E$45,MATCH('Análisis Resultados'!C52,Hoja1!$H$2:$H$45,0)),"")</f>
        <v>Identificación de información necesaria para la operación de la entidad (normograma, presupuesto, talento humano, infraestructura física y tecnológica)</v>
      </c>
      <c r="F52" s="115" t="str">
        <f>+IFERROR(VLOOKUP(C52,Hoja1!$H$2:$I$45,2,0),"")</f>
        <v>Si</v>
      </c>
      <c r="G52" s="121" t="str">
        <f t="shared" si="0"/>
        <v>Existe requerimiento pero se requiere actividades  dirigidas a su mantenimiento dentro del marco de las lineas de defensa.</v>
      </c>
      <c r="I52" s="129">
        <f t="shared" si="1"/>
        <v>1</v>
      </c>
      <c r="J52" s="250"/>
    </row>
    <row r="53" spans="1:10" ht="41.25" customHeight="1" x14ac:dyDescent="0.25">
      <c r="A53" s="1"/>
      <c r="B53" s="1"/>
      <c r="C53" s="122">
        <v>35</v>
      </c>
      <c r="D53" s="254" t="s">
        <v>97</v>
      </c>
      <c r="E53" s="105" t="str">
        <f>+IFERROR(INDEX(Hoja1!$E$2:$E$45,MATCH('Análisis Resultados'!C53,Hoja1!$H$2:$H$45,0)),"")</f>
        <v>La entidad participa en el  Comité Municipal de Auditoría?</v>
      </c>
      <c r="F53" s="106" t="str">
        <f>+IFERROR(VLOOKUP(C53,Hoja1!$H$2:$I$45,2,0),"")</f>
        <v>No</v>
      </c>
      <c r="G53" s="107" t="str">
        <f t="shared" si="0"/>
        <v>No se encuentra el aspecto  por lo tanto la entidad debera generar acciones dirigidas a que se cumpla con el requerimiento.</v>
      </c>
      <c r="I53" s="123">
        <f t="shared" si="1"/>
        <v>0</v>
      </c>
      <c r="J53" s="257">
        <f>+AVERAGE(I53:I62)</f>
        <v>0.7</v>
      </c>
    </row>
    <row r="54" spans="1:10" ht="58.5" customHeight="1" x14ac:dyDescent="0.25">
      <c r="A54" s="1"/>
      <c r="B54" s="1"/>
      <c r="C54" s="122">
        <v>36</v>
      </c>
      <c r="D54" s="255"/>
      <c r="E54" s="108" t="str">
        <f>+IFERROR(INDEX(Hoja1!$E$2:$E$45,MATCH('Análisis Resultados'!C54,Hoja1!$H$2:$H$45,0)),"")</f>
        <v>Medidas correctivas en caso de detectarse deficiencias en los ejercicios de evaluación, seguimiento o auditoría</v>
      </c>
      <c r="F54" s="109" t="str">
        <f>+IFERROR(VLOOKUP(C54,Hoja1!$H$2:$I$45,2,0),"")</f>
        <v>En proceso</v>
      </c>
      <c r="G54" s="110" t="str">
        <f t="shared" si="0"/>
        <v>Se encuentra en proceso, pero requiere continuar con acciones dirigidas a contar con dicho aspecto de control.</v>
      </c>
      <c r="I54" s="124">
        <f t="shared" si="1"/>
        <v>0.5</v>
      </c>
      <c r="J54" s="258"/>
    </row>
    <row r="55" spans="1:10" s="1" customFormat="1" ht="84.75" customHeight="1" x14ac:dyDescent="0.25">
      <c r="C55" s="122">
        <v>37</v>
      </c>
      <c r="D55" s="255"/>
      <c r="E55" s="108" t="str">
        <f>+IFERROR(INDEX(Hoja1!$E$2:$E$45,MATCH('Análisis Resultados'!C55,Hoja1!$H$2:$H$45,0)),"")</f>
        <v>Seguimiento a los planes de mejoramiento suscritos con instancias de control internas o externas</v>
      </c>
      <c r="F55" s="109" t="str">
        <f>+IFERROR(VLOOKUP(C55,Hoja1!$H$2:$I$45,2,0),"")</f>
        <v>En proceso</v>
      </c>
      <c r="G55" s="110" t="str">
        <f t="shared" si="0"/>
        <v>Se encuentra en proceso, pero requiere continuar con acciones dirigidas a contar con dicho aspecto de control.</v>
      </c>
      <c r="I55" s="124">
        <f t="shared" si="1"/>
        <v>0.5</v>
      </c>
      <c r="J55" s="258"/>
    </row>
    <row r="56" spans="1:10" s="1" customFormat="1" ht="78.75" customHeight="1" x14ac:dyDescent="0.25">
      <c r="C56" s="122">
        <v>38</v>
      </c>
      <c r="D56" s="255"/>
      <c r="E56" s="108" t="str">
        <f>+IFERROR(INDEX(Hoja1!$E$2:$E$45,MATCH('Análisis Resultados'!C56,Hoja1!$H$2:$H$45,0)),"")</f>
        <v>Evitar que los problemas (riesgos) obstaculicen el cumplimiento de los objetivos.</v>
      </c>
      <c r="F56" s="109" t="str">
        <f>+IFERROR(VLOOKUP(C56,Hoja1!$H$2:$I$45,2,0),"")</f>
        <v>En proceso</v>
      </c>
      <c r="G56" s="110" t="str">
        <f t="shared" si="0"/>
        <v>Se encuentra en proceso, pero requiere continuar con acciones dirigidas a contar con dicho aspecto de control.</v>
      </c>
      <c r="I56" s="124">
        <f t="shared" si="1"/>
        <v>0.5</v>
      </c>
      <c r="J56" s="258"/>
    </row>
    <row r="57" spans="1:10" s="1" customFormat="1" ht="54.75" customHeight="1" x14ac:dyDescent="0.25">
      <c r="C57" s="122">
        <v>39</v>
      </c>
      <c r="D57" s="255"/>
      <c r="E57" s="108" t="str">
        <f>+IFERROR(INDEX(Hoja1!$E$2:$E$45,MATCH('Análisis Resultados'!C57,Hoja1!$H$2:$H$45,0)),"")</f>
        <v>Controlar los puntos críticos en los procesos.</v>
      </c>
      <c r="F57" s="109" t="str">
        <f>+IFERROR(VLOOKUP(C57,Hoja1!$H$2:$I$45,2,0),"")</f>
        <v>En proceso</v>
      </c>
      <c r="G57" s="110" t="str">
        <f t="shared" si="0"/>
        <v>Se encuentra en proceso, pero requiere continuar con acciones dirigidas a contar con dicho aspecto de control.</v>
      </c>
      <c r="I57" s="124">
        <f t="shared" si="1"/>
        <v>0.5</v>
      </c>
      <c r="J57" s="258"/>
    </row>
    <row r="58" spans="1:10" s="1" customFormat="1" ht="68.25" customHeight="1" x14ac:dyDescent="0.25">
      <c r="C58" s="122">
        <v>40</v>
      </c>
      <c r="D58" s="255"/>
      <c r="E58" s="108" t="str">
        <f>+IFERROR(INDEX(Hoja1!$E$2:$E$45,MATCH('Análisis Resultados'!C58,Hoja1!$H$2:$H$45,0)),"")</f>
        <v>Mecanismos de evaluación de la gestión (cronogramas, indicadores, listas de chequeo u otros)</v>
      </c>
      <c r="F58" s="109" t="str">
        <f>+IFERROR(VLOOKUP(C58,Hoja1!$H$2:$I$45,2,0),"")</f>
        <v>Si</v>
      </c>
      <c r="G58" s="110" t="str">
        <f t="shared" si="0"/>
        <v>Existe requerimiento pero se requiere actividades  dirigidas a su mantenimiento dentro del marco de las lineas de defensa.</v>
      </c>
      <c r="I58" s="124">
        <f t="shared" si="1"/>
        <v>1</v>
      </c>
      <c r="J58" s="258"/>
    </row>
    <row r="59" spans="1:10" s="1" customFormat="1" ht="45" customHeight="1" x14ac:dyDescent="0.25">
      <c r="C59" s="122">
        <v>41</v>
      </c>
      <c r="D59" s="255"/>
      <c r="E59" s="108" t="str">
        <f>+IFERROR(INDEX(Hoja1!$E$2:$E$45,MATCH('Análisis Resultados'!C59,Hoja1!$H$2:$H$45,0)),"")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9" s="109" t="str">
        <f>+IFERROR(VLOOKUP(C59,Hoja1!$H$2:$I$45,2,0),"")</f>
        <v>Si</v>
      </c>
      <c r="G59" s="110" t="str">
        <f t="shared" si="0"/>
        <v>Existe requerimiento pero se requiere actividades  dirigidas a su mantenimiento dentro del marco de las lineas de defensa.</v>
      </c>
      <c r="I59" s="124">
        <f t="shared" si="1"/>
        <v>1</v>
      </c>
      <c r="J59" s="258"/>
    </row>
    <row r="60" spans="1:10" s="1" customFormat="1" ht="51.75" customHeight="1" x14ac:dyDescent="0.25">
      <c r="C60" s="122">
        <v>42</v>
      </c>
      <c r="D60" s="255"/>
      <c r="E60" s="108" t="str">
        <f>+IFERROR(INDEX(Hoja1!$E$2:$E$45,MATCH('Análisis Resultados'!C60,Hoja1!$H$2:$H$45,0)),"")</f>
        <v>Diseñar acciones adecuadas para controlar los problemas que afectan el cumplimiento de las metas y objetivos institucionales (riesgos).</v>
      </c>
      <c r="F60" s="109" t="str">
        <f>+IFERROR(VLOOKUP(C60,Hoja1!$H$2:$I$45,2,0),"")</f>
        <v>Si</v>
      </c>
      <c r="G60" s="110" t="str">
        <f t="shared" si="0"/>
        <v>Existe requerimiento pero se requiere actividades  dirigidas a su mantenimiento dentro del marco de las lineas de defensa.</v>
      </c>
      <c r="I60" s="124">
        <f t="shared" si="1"/>
        <v>1</v>
      </c>
      <c r="J60" s="258"/>
    </row>
    <row r="61" spans="1:10" s="1" customFormat="1" ht="84" customHeight="1" x14ac:dyDescent="0.25">
      <c r="C61" s="122">
        <v>43</v>
      </c>
      <c r="D61" s="255"/>
      <c r="E61" s="108" t="str">
        <f>+IFERROR(INDEX(Hoja1!$E$2:$E$45,MATCH('Análisis Resultados'!C61,Hoja1!$H$2:$H$45,0)),"")</f>
        <v>Ejecutar las acciones de acuerdo a como se diseñaron previamente.</v>
      </c>
      <c r="F61" s="109" t="str">
        <f>+IFERROR(VLOOKUP(C61,Hoja1!$H$2:$I$45,2,0),"")</f>
        <v>Si</v>
      </c>
      <c r="G61" s="110" t="str">
        <f t="shared" si="0"/>
        <v>Existe requerimiento pero se requiere actividades  dirigidas a su mantenimiento dentro del marco de las lineas de defensa.</v>
      </c>
      <c r="I61" s="124">
        <f t="shared" si="1"/>
        <v>1</v>
      </c>
      <c r="J61" s="258"/>
    </row>
    <row r="62" spans="1:10" s="1" customFormat="1" ht="60" customHeight="1" thickBot="1" x14ac:dyDescent="0.3">
      <c r="C62" s="122">
        <v>44</v>
      </c>
      <c r="D62" s="256"/>
      <c r="E62" s="111" t="str">
        <f>+IFERROR(INDEX(Hoja1!$E$2:$E$45,MATCH('Análisis Resultados'!C62,Hoja1!$H$2:$H$45,0)),"")</f>
        <v>No se gestionan los problemas que afectan el cumplimiento de las funciones y objetivos institucionales(riesgos).</v>
      </c>
      <c r="F62" s="112" t="str">
        <f>+IFERROR(VLOOKUP(C62,Hoja1!$H$2:$I$45,2,0),"")</f>
        <v>Si</v>
      </c>
      <c r="G62" s="113" t="str">
        <f t="shared" si="0"/>
        <v>Existe requerimiento pero se requiere actividades  dirigidas a su mantenimiento dentro del marco de las lineas de defensa.</v>
      </c>
      <c r="I62" s="125">
        <f t="shared" si="1"/>
        <v>1</v>
      </c>
      <c r="J62" s="259"/>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rintOptions horizontalCentered="1"/>
  <pageMargins left="0.31496062992125984" right="0.31496062992125984" top="0.74803149606299213" bottom="0.74803149606299213" header="0.31496062992125984" footer="0.31496062992125984"/>
  <pageSetup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zoomScale="41" zoomScaleNormal="41" workbookViewId="0">
      <selection activeCell="I26" sqref="I26:M2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9.350000000000001" customHeight="1" thickTop="1" x14ac:dyDescent="0.25">
      <c r="A3" s="1"/>
      <c r="B3" s="2"/>
      <c r="C3" s="3"/>
      <c r="D3" s="3"/>
      <c r="E3" s="3"/>
      <c r="F3" s="3"/>
      <c r="G3" s="3"/>
      <c r="H3" s="3"/>
      <c r="I3" s="3"/>
      <c r="J3" s="3"/>
      <c r="K3" s="3"/>
      <c r="L3" s="3"/>
      <c r="M3" s="3"/>
      <c r="N3" s="3"/>
      <c r="O3" s="3"/>
      <c r="P3" s="4"/>
      <c r="Q3" s="1"/>
    </row>
    <row r="4" spans="1:17" ht="9.4" customHeight="1" x14ac:dyDescent="0.3">
      <c r="A4" s="1"/>
      <c r="B4" s="5"/>
      <c r="C4" s="1"/>
      <c r="D4" s="1"/>
      <c r="E4" s="277" t="s">
        <v>124</v>
      </c>
      <c r="F4" s="279" t="s">
        <v>191</v>
      </c>
      <c r="G4" s="279"/>
      <c r="H4" s="279"/>
      <c r="I4" s="279"/>
      <c r="J4" s="279"/>
      <c r="K4" s="279"/>
      <c r="L4" s="279"/>
      <c r="M4" s="279"/>
      <c r="N4" s="6"/>
      <c r="O4" s="6"/>
      <c r="P4" s="7"/>
      <c r="Q4" s="1"/>
    </row>
    <row r="5" spans="1:17" ht="42" customHeight="1" x14ac:dyDescent="0.3">
      <c r="A5" s="1"/>
      <c r="B5" s="5"/>
      <c r="C5" s="1"/>
      <c r="D5" s="1"/>
      <c r="E5" s="278"/>
      <c r="F5" s="279"/>
      <c r="G5" s="279"/>
      <c r="H5" s="279"/>
      <c r="I5" s="279"/>
      <c r="J5" s="279"/>
      <c r="K5" s="279"/>
      <c r="L5" s="279"/>
      <c r="M5" s="279"/>
      <c r="N5" s="6"/>
      <c r="O5" s="6"/>
      <c r="P5" s="7"/>
      <c r="Q5" s="1"/>
    </row>
    <row r="6" spans="1:17" ht="39.75" customHeight="1" x14ac:dyDescent="0.3">
      <c r="A6" s="1"/>
      <c r="B6" s="5"/>
      <c r="C6" s="1"/>
      <c r="D6" s="1"/>
      <c r="E6" s="154" t="s">
        <v>125</v>
      </c>
      <c r="F6" s="280" t="s">
        <v>238</v>
      </c>
      <c r="G6" s="281"/>
      <c r="H6" s="281"/>
      <c r="I6" s="281"/>
      <c r="J6" s="281"/>
      <c r="K6" s="281"/>
      <c r="L6" s="281"/>
      <c r="M6" s="282"/>
      <c r="N6" s="8"/>
      <c r="O6" s="8"/>
      <c r="P6" s="7"/>
      <c r="Q6" s="1"/>
    </row>
    <row r="7" spans="1:17" ht="24.4" customHeight="1" thickBot="1" x14ac:dyDescent="0.35">
      <c r="A7" s="1"/>
      <c r="B7" s="5"/>
      <c r="C7" s="1"/>
      <c r="D7" s="1"/>
      <c r="E7" s="9"/>
      <c r="F7" s="8"/>
      <c r="G7" s="8"/>
      <c r="H7" s="8"/>
      <c r="I7" s="8"/>
      <c r="J7" s="8"/>
      <c r="K7" s="8"/>
      <c r="L7" s="8"/>
      <c r="M7" s="1"/>
      <c r="N7" s="1"/>
      <c r="O7" s="1"/>
      <c r="P7" s="7"/>
      <c r="Q7" s="1"/>
    </row>
    <row r="8" spans="1:17" ht="96.4" customHeight="1" thickBot="1" x14ac:dyDescent="0.3">
      <c r="A8" s="1"/>
      <c r="B8" s="5"/>
      <c r="C8" s="1"/>
      <c r="D8" s="1"/>
      <c r="E8" s="1"/>
      <c r="F8" s="1"/>
      <c r="G8" s="1"/>
      <c r="H8" s="1"/>
      <c r="I8" s="283" t="s">
        <v>126</v>
      </c>
      <c r="J8" s="284"/>
      <c r="K8" s="285"/>
      <c r="L8" s="1"/>
      <c r="M8" s="130">
        <f>+AVERAGE(G26,G28,G30,G32,G34)</f>
        <v>0.85738095238095247</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ht="18" customHeight="1"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ht="13.15" customHeight="1" x14ac:dyDescent="0.25">
      <c r="A14" s="1"/>
      <c r="B14" s="5"/>
      <c r="C14" s="1"/>
      <c r="D14" s="1"/>
      <c r="E14" s="1"/>
      <c r="F14" s="1"/>
      <c r="G14" s="1"/>
      <c r="H14" s="1"/>
      <c r="I14" s="1"/>
      <c r="J14" s="1"/>
      <c r="K14" s="1"/>
      <c r="L14" s="1"/>
      <c r="M14" s="1"/>
      <c r="N14" s="1"/>
      <c r="O14" s="1"/>
      <c r="P14" s="7"/>
      <c r="Q14" s="1"/>
    </row>
    <row r="15" spans="1:17" ht="9" customHeight="1" x14ac:dyDescent="0.25">
      <c r="A15" s="1"/>
      <c r="B15" s="5"/>
      <c r="C15" s="1"/>
      <c r="D15" s="1"/>
      <c r="E15" s="1"/>
      <c r="F15" s="1"/>
      <c r="G15" s="1"/>
      <c r="H15" s="1"/>
      <c r="I15" s="1"/>
      <c r="J15" s="1"/>
      <c r="K15" s="1"/>
      <c r="L15" s="1"/>
      <c r="M15" s="1"/>
      <c r="N15" s="1"/>
      <c r="O15" s="1"/>
      <c r="P15" s="7"/>
      <c r="Q15" s="1"/>
    </row>
    <row r="16" spans="1:17" ht="7.35" customHeight="1" x14ac:dyDescent="0.25">
      <c r="A16" s="1"/>
      <c r="B16" s="5"/>
      <c r="C16" s="1"/>
      <c r="D16" s="1"/>
      <c r="E16" s="1"/>
      <c r="F16" s="1"/>
      <c r="G16" s="1"/>
      <c r="H16" s="1"/>
      <c r="I16" s="1"/>
      <c r="J16" s="1"/>
      <c r="K16" s="1"/>
      <c r="L16" s="1"/>
      <c r="M16" s="1"/>
      <c r="N16" s="1"/>
      <c r="O16" s="1"/>
      <c r="P16" s="7"/>
      <c r="Q16" s="1"/>
    </row>
    <row r="17" spans="1:17" ht="6.4" customHeight="1" x14ac:dyDescent="0.25">
      <c r="A17" s="1"/>
      <c r="B17" s="5"/>
      <c r="C17" s="1"/>
      <c r="D17" s="1"/>
      <c r="E17" s="1"/>
      <c r="F17" s="1"/>
      <c r="G17" s="1"/>
      <c r="H17" s="1"/>
      <c r="I17" s="1"/>
      <c r="J17" s="1"/>
      <c r="K17" s="1"/>
      <c r="L17" s="1"/>
      <c r="M17" s="1"/>
      <c r="N17" s="1"/>
      <c r="O17" s="1"/>
      <c r="P17" s="7"/>
      <c r="Q17" s="1"/>
    </row>
    <row r="18" spans="1:17" ht="34.700000000000003" customHeight="1" x14ac:dyDescent="0.25">
      <c r="A18" s="1"/>
      <c r="B18" s="5"/>
      <c r="C18" s="286" t="s">
        <v>127</v>
      </c>
      <c r="D18" s="287"/>
      <c r="E18" s="287"/>
      <c r="F18" s="287"/>
      <c r="G18" s="287"/>
      <c r="H18" s="287"/>
      <c r="I18" s="287"/>
      <c r="J18" s="287"/>
      <c r="K18" s="287"/>
      <c r="L18" s="287"/>
      <c r="M18" s="288"/>
      <c r="N18" s="12"/>
      <c r="O18" s="12"/>
      <c r="P18" s="7"/>
      <c r="Q18" s="1"/>
    </row>
    <row r="19" spans="1:17" ht="10.35" customHeight="1" thickBot="1" x14ac:dyDescent="0.3">
      <c r="A19" s="1"/>
      <c r="B19" s="5"/>
      <c r="C19" s="13"/>
      <c r="D19" s="13"/>
      <c r="E19" s="13"/>
      <c r="F19" s="13"/>
      <c r="G19" s="13"/>
      <c r="H19" s="13"/>
      <c r="I19" s="13"/>
      <c r="J19" s="13"/>
      <c r="K19" s="13"/>
      <c r="L19" s="13"/>
      <c r="M19" s="13"/>
      <c r="N19" s="14"/>
      <c r="O19" s="14"/>
      <c r="P19" s="7"/>
      <c r="Q19" s="1"/>
    </row>
    <row r="20" spans="1:17" ht="260.25" customHeight="1" x14ac:dyDescent="0.25">
      <c r="A20" s="1"/>
      <c r="B20" s="5"/>
      <c r="C20" s="289" t="s">
        <v>128</v>
      </c>
      <c r="D20" s="290"/>
      <c r="E20" s="133" t="s">
        <v>76</v>
      </c>
      <c r="F20" s="291" t="s">
        <v>235</v>
      </c>
      <c r="G20" s="291"/>
      <c r="H20" s="291"/>
      <c r="I20" s="291"/>
      <c r="J20" s="291"/>
      <c r="K20" s="291"/>
      <c r="L20" s="291"/>
      <c r="M20" s="292"/>
      <c r="N20" s="14"/>
      <c r="O20" s="14"/>
      <c r="P20" s="7"/>
      <c r="Q20" s="1"/>
    </row>
    <row r="21" spans="1:17" ht="79.7" customHeight="1" x14ac:dyDescent="0.25">
      <c r="A21" s="1"/>
      <c r="B21" s="5"/>
      <c r="C21" s="273" t="s">
        <v>129</v>
      </c>
      <c r="D21" s="274"/>
      <c r="E21" s="134" t="s">
        <v>39</v>
      </c>
      <c r="F21" s="293" t="s">
        <v>206</v>
      </c>
      <c r="G21" s="293"/>
      <c r="H21" s="293"/>
      <c r="I21" s="293"/>
      <c r="J21" s="293"/>
      <c r="K21" s="293"/>
      <c r="L21" s="293"/>
      <c r="M21" s="294"/>
      <c r="N21" s="14"/>
      <c r="O21" s="14"/>
      <c r="P21" s="7"/>
      <c r="Q21" s="1"/>
    </row>
    <row r="22" spans="1:17" ht="120.4" customHeight="1" thickBot="1" x14ac:dyDescent="0.3">
      <c r="A22" s="1"/>
      <c r="B22" s="5"/>
      <c r="C22" s="275" t="s">
        <v>130</v>
      </c>
      <c r="D22" s="276"/>
      <c r="E22" s="135" t="s">
        <v>39</v>
      </c>
      <c r="F22" s="295" t="s">
        <v>207</v>
      </c>
      <c r="G22" s="295"/>
      <c r="H22" s="295"/>
      <c r="I22" s="295"/>
      <c r="J22" s="295"/>
      <c r="K22" s="295"/>
      <c r="L22" s="295"/>
      <c r="M22" s="296"/>
      <c r="N22" s="14"/>
      <c r="O22" s="14"/>
      <c r="P22" s="7"/>
      <c r="Q22" s="1"/>
    </row>
    <row r="23" spans="1:17" ht="12.75" customHeight="1" x14ac:dyDescent="0.25">
      <c r="A23" s="1"/>
      <c r="B23" s="5"/>
      <c r="C23" s="1"/>
      <c r="D23" s="1"/>
      <c r="E23" s="1"/>
      <c r="F23" s="1"/>
      <c r="G23" s="15"/>
      <c r="H23" s="1"/>
      <c r="I23" s="1"/>
      <c r="J23" s="1"/>
      <c r="K23" s="1"/>
      <c r="L23" s="1"/>
      <c r="M23" s="1"/>
      <c r="N23" s="1"/>
      <c r="O23" s="1"/>
      <c r="P23" s="7"/>
      <c r="Q23" s="1"/>
    </row>
    <row r="24" spans="1:17" ht="78.75" x14ac:dyDescent="0.25">
      <c r="A24" s="1"/>
      <c r="B24" s="5"/>
      <c r="C24" s="155" t="s">
        <v>131</v>
      </c>
      <c r="D24" s="88"/>
      <c r="E24" s="155" t="s">
        <v>132</v>
      </c>
      <c r="F24" s="88"/>
      <c r="G24" s="155" t="s">
        <v>133</v>
      </c>
      <c r="H24" s="88"/>
      <c r="I24" s="270" t="s">
        <v>134</v>
      </c>
      <c r="J24" s="270"/>
      <c r="K24" s="270"/>
      <c r="L24" s="270"/>
      <c r="M24" s="270"/>
      <c r="N24" s="30"/>
      <c r="O24" s="30"/>
      <c r="P24" s="7"/>
      <c r="Q24" s="16"/>
    </row>
    <row r="25" spans="1:17" ht="9.75" customHeight="1" thickBot="1" x14ac:dyDescent="0.3">
      <c r="A25" s="1"/>
      <c r="B25" s="5"/>
      <c r="C25" s="29"/>
      <c r="I25" s="271"/>
      <c r="J25" s="271"/>
      <c r="K25" s="271"/>
      <c r="L25" s="271"/>
      <c r="M25" s="271"/>
      <c r="N25" s="31"/>
      <c r="O25" s="31"/>
      <c r="P25" s="7"/>
      <c r="Q25" s="1"/>
    </row>
    <row r="26" spans="1:17" ht="400.5" customHeight="1" thickBot="1" x14ac:dyDescent="0.3">
      <c r="A26" s="1"/>
      <c r="B26" s="5"/>
      <c r="C26" s="80" t="s">
        <v>32</v>
      </c>
      <c r="D26" s="17"/>
      <c r="E26" s="131" t="str">
        <f>+IF(Hoja1!K2&gt;=0.5,"Si","No")</f>
        <v>Si</v>
      </c>
      <c r="F26" s="18"/>
      <c r="G26" s="132">
        <f>+Hoja1!K2</f>
        <v>0.95833333333333337</v>
      </c>
      <c r="H26" s="18"/>
      <c r="I26" s="267" t="s">
        <v>236</v>
      </c>
      <c r="J26" s="268"/>
      <c r="K26" s="268"/>
      <c r="L26" s="268"/>
      <c r="M26" s="269"/>
      <c r="N26" s="32"/>
      <c r="O26" s="33"/>
      <c r="P26" s="19"/>
      <c r="Q26" s="20"/>
    </row>
    <row r="27" spans="1:17" ht="4.9000000000000004" customHeight="1" thickBot="1" x14ac:dyDescent="0.45">
      <c r="A27" s="1"/>
      <c r="B27" s="5"/>
      <c r="C27" s="81"/>
      <c r="E27" s="87"/>
      <c r="G27" s="21"/>
      <c r="I27" s="272"/>
      <c r="J27" s="272"/>
      <c r="K27" s="272"/>
      <c r="L27" s="272"/>
      <c r="M27" s="272"/>
      <c r="N27" s="34"/>
      <c r="O27" s="34"/>
      <c r="P27" s="7"/>
      <c r="Q27" s="1"/>
    </row>
    <row r="28" spans="1:17" ht="228.75" customHeight="1" thickBot="1" x14ac:dyDescent="0.3">
      <c r="A28" s="1"/>
      <c r="B28" s="5"/>
      <c r="C28" s="82" t="s">
        <v>135</v>
      </c>
      <c r="D28" s="17"/>
      <c r="E28" s="131" t="str">
        <f>+IF(Hoja1!K14&gt;=0.5,"Si","No")</f>
        <v>Si</v>
      </c>
      <c r="G28" s="132">
        <f>+Hoja1!K14</f>
        <v>1</v>
      </c>
      <c r="I28" s="267" t="s">
        <v>244</v>
      </c>
      <c r="J28" s="268"/>
      <c r="K28" s="268"/>
      <c r="L28" s="268"/>
      <c r="M28" s="269"/>
      <c r="N28" s="32"/>
      <c r="O28" s="32"/>
      <c r="P28" s="7"/>
      <c r="Q28" s="1"/>
    </row>
    <row r="29" spans="1:17" ht="4.7" customHeight="1" thickBot="1" x14ac:dyDescent="0.45">
      <c r="A29" s="1"/>
      <c r="B29" s="5"/>
      <c r="C29" s="81"/>
      <c r="E29" s="87"/>
      <c r="G29" s="21"/>
      <c r="I29" s="272"/>
      <c r="J29" s="272"/>
      <c r="K29" s="272"/>
      <c r="L29" s="272"/>
      <c r="M29" s="272"/>
      <c r="N29" s="34"/>
      <c r="O29" s="34"/>
      <c r="P29" s="7"/>
      <c r="Q29" s="1"/>
    </row>
    <row r="30" spans="1:17" ht="163.69999999999999" customHeight="1" thickBot="1" x14ac:dyDescent="0.3">
      <c r="A30" s="1"/>
      <c r="B30" s="5"/>
      <c r="C30" s="83" t="s">
        <v>136</v>
      </c>
      <c r="D30" s="17"/>
      <c r="E30" s="131" t="str">
        <f>+IF(Hoja1!K24&gt;=0.5,"Si","No")</f>
        <v>Si</v>
      </c>
      <c r="G30" s="132">
        <f>+Hoja1!K24</f>
        <v>0.7</v>
      </c>
      <c r="I30" s="267" t="s">
        <v>205</v>
      </c>
      <c r="J30" s="268"/>
      <c r="K30" s="268"/>
      <c r="L30" s="268"/>
      <c r="M30" s="269"/>
      <c r="N30" s="32"/>
      <c r="O30" s="32"/>
      <c r="P30" s="7"/>
      <c r="Q30" s="1"/>
    </row>
    <row r="31" spans="1:17" ht="4.9000000000000004" customHeight="1" thickBot="1" x14ac:dyDescent="0.45">
      <c r="A31" s="1"/>
      <c r="B31" s="5"/>
      <c r="C31" s="81"/>
      <c r="E31" s="87"/>
      <c r="G31" s="21"/>
      <c r="I31" s="272"/>
      <c r="J31" s="272"/>
      <c r="K31" s="272"/>
      <c r="L31" s="272"/>
      <c r="M31" s="272"/>
      <c r="N31" s="34"/>
      <c r="O31" s="34"/>
      <c r="P31" s="7"/>
      <c r="Q31" s="1"/>
    </row>
    <row r="32" spans="1:17" ht="209.45" customHeight="1" thickBot="1" x14ac:dyDescent="0.3">
      <c r="A32" s="1"/>
      <c r="B32" s="5"/>
      <c r="C32" s="84" t="s">
        <v>87</v>
      </c>
      <c r="D32" s="17"/>
      <c r="E32" s="131" t="str">
        <f>+IF(Hoja1!K29&gt;=0.5,"Si","No")</f>
        <v>Si</v>
      </c>
      <c r="G32" s="132">
        <f>+Hoja1!K29</f>
        <v>0.9285714285714286</v>
      </c>
      <c r="I32" s="267" t="s">
        <v>237</v>
      </c>
      <c r="J32" s="268"/>
      <c r="K32" s="268"/>
      <c r="L32" s="268"/>
      <c r="M32" s="269"/>
      <c r="N32" s="32"/>
      <c r="O32" s="32"/>
      <c r="P32" s="7"/>
      <c r="Q32" s="1"/>
    </row>
    <row r="33" spans="1:17" ht="4.3499999999999996" customHeight="1" thickBot="1" x14ac:dyDescent="0.45">
      <c r="A33" s="1"/>
      <c r="B33" s="5"/>
      <c r="C33" s="81"/>
      <c r="E33" s="87"/>
      <c r="G33" s="21"/>
      <c r="I33" s="272"/>
      <c r="J33" s="272"/>
      <c r="K33" s="272"/>
      <c r="L33" s="272"/>
      <c r="M33" s="272"/>
      <c r="N33" s="34"/>
      <c r="O33" s="34"/>
      <c r="P33" s="7"/>
      <c r="Q33" s="1"/>
    </row>
    <row r="34" spans="1:17" ht="195.95" customHeight="1" thickBot="1" x14ac:dyDescent="0.3">
      <c r="A34" s="1"/>
      <c r="B34" s="5"/>
      <c r="C34" s="85" t="s">
        <v>137</v>
      </c>
      <c r="D34" s="17"/>
      <c r="E34" s="86" t="str">
        <f>+IF(Hoja1!K36&gt;=0.5,"Si","No")</f>
        <v>Si</v>
      </c>
      <c r="G34" s="132">
        <f>+Hoja1!K36</f>
        <v>0.7</v>
      </c>
      <c r="I34" s="267" t="s">
        <v>208</v>
      </c>
      <c r="J34" s="268"/>
      <c r="K34" s="268"/>
      <c r="L34" s="268"/>
      <c r="M34" s="269"/>
      <c r="N34" s="32"/>
      <c r="O34" s="32"/>
      <c r="P34" s="7"/>
      <c r="Q34" s="1"/>
    </row>
    <row r="35" spans="1:17" ht="4.7" customHeight="1" x14ac:dyDescent="0.25">
      <c r="A35" s="1"/>
      <c r="B35" s="5"/>
      <c r="C35" s="22"/>
      <c r="D35" s="22"/>
      <c r="E35" s="14"/>
      <c r="F35" s="1"/>
      <c r="G35" s="1"/>
      <c r="H35" s="1"/>
      <c r="I35" s="1"/>
      <c r="J35" s="1"/>
      <c r="K35" s="1"/>
      <c r="L35" s="1"/>
      <c r="M35" s="23"/>
      <c r="N35" s="23"/>
      <c r="O35" s="23"/>
      <c r="P35" s="7"/>
      <c r="Q35" s="1"/>
    </row>
    <row r="36" spans="1:17" ht="3" customHeight="1" x14ac:dyDescent="0.25">
      <c r="A36" s="1"/>
      <c r="B36" s="5"/>
      <c r="C36" s="24"/>
      <c r="D36" s="22"/>
      <c r="E36" s="14"/>
      <c r="F36" s="1"/>
      <c r="G36" s="1"/>
      <c r="H36" s="1"/>
      <c r="I36" s="1"/>
      <c r="J36" s="1"/>
      <c r="K36" s="1"/>
      <c r="L36" s="1"/>
      <c r="M36" s="23"/>
      <c r="N36" s="23"/>
      <c r="O36" s="23"/>
      <c r="P36" s="7"/>
      <c r="Q36" s="1"/>
    </row>
    <row r="37" spans="1:17" ht="3.75" customHeight="1" x14ac:dyDescent="0.25">
      <c r="A37" s="1"/>
      <c r="B37" s="5"/>
      <c r="C37" s="25"/>
      <c r="D37" s="1"/>
      <c r="E37" s="1"/>
      <c r="F37" s="1"/>
      <c r="G37" s="1"/>
      <c r="H37" s="1"/>
      <c r="I37" s="1"/>
      <c r="J37" s="1"/>
      <c r="K37" s="1"/>
      <c r="L37" s="1"/>
      <c r="M37" s="1"/>
      <c r="N37" s="1"/>
      <c r="O37" s="1"/>
      <c r="P37" s="7"/>
      <c r="Q37" s="1"/>
    </row>
    <row r="38" spans="1:17" ht="4.7" customHeight="1"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rintOptions horizontalCentered="1"/>
  <pageMargins left="0.70866141732283472" right="0.70866141732283472" top="0.74803149606299213" bottom="0.74803149606299213" header="0.31496062992125984" footer="0.31496062992125984"/>
  <pageSetup scale="33" fitToWidth="0"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36" t="s">
        <v>25</v>
      </c>
      <c r="B1" s="136" t="s">
        <v>6</v>
      </c>
      <c r="C1" s="137" t="s">
        <v>8</v>
      </c>
      <c r="D1" s="138" t="s">
        <v>26</v>
      </c>
      <c r="E1" s="138" t="s">
        <v>27</v>
      </c>
      <c r="F1" s="138" t="s">
        <v>138</v>
      </c>
      <c r="G1" s="139" t="s">
        <v>139</v>
      </c>
      <c r="H1" s="139" t="s">
        <v>140</v>
      </c>
      <c r="I1" s="139" t="s">
        <v>119</v>
      </c>
      <c r="J1" s="139" t="s">
        <v>141</v>
      </c>
      <c r="K1" s="139" t="s">
        <v>142</v>
      </c>
    </row>
    <row r="2" spans="1:11" x14ac:dyDescent="0.25">
      <c r="A2" s="140" t="s">
        <v>143</v>
      </c>
      <c r="B2" s="140" t="str">
        <f>+VLOOKUP(A2,'Estado SCI'!$A$16:$C$59,3,0)</f>
        <v>AMBIENTE DE CONTROL</v>
      </c>
      <c r="C2" s="140" t="s">
        <v>33</v>
      </c>
      <c r="D2" s="140" t="s">
        <v>34</v>
      </c>
      <c r="E2" s="140" t="s">
        <v>35</v>
      </c>
      <c r="F2" s="140" t="str">
        <f>+VLOOKUP(A2,'Estado SCI'!$A$16:$I$59,9,0)</f>
        <v>Mantenimiento del control</v>
      </c>
      <c r="G2" s="140">
        <f>+VLOOKUP(A2,'Estado SCI'!$A$16:$L$59,12,0)</f>
        <v>20.123000000000001</v>
      </c>
      <c r="H2" s="140">
        <f t="shared" ref="H2:H45" si="0">+_xlfn.RANK.EQ(G2,$G$2:$G$45,1)</f>
        <v>2</v>
      </c>
      <c r="I2" s="140" t="str">
        <f>+IF(VLOOKUP(A2,'Estado SCI'!$A$16:$G$59,7,0)="","",VLOOKUP(A2,'Estado SCI'!$A$16:$G$59,7,0))</f>
        <v>Si</v>
      </c>
      <c r="J2" s="141">
        <f>+IF(I2="Si",1,IF(I2="En proceso",0.5,0))</f>
        <v>1</v>
      </c>
      <c r="K2" s="142">
        <f t="shared" ref="K2:K45" si="1">+AVERAGEIF($B$2:$B$45,B2,$J$2:$J$45)</f>
        <v>0.95833333333333337</v>
      </c>
    </row>
    <row r="3" spans="1:11" x14ac:dyDescent="0.25">
      <c r="A3" s="140" t="s">
        <v>144</v>
      </c>
      <c r="B3" s="140" t="s">
        <v>32</v>
      </c>
      <c r="C3" s="140" t="s">
        <v>33</v>
      </c>
      <c r="D3" s="140" t="s">
        <v>37</v>
      </c>
      <c r="E3" s="140" t="s">
        <v>38</v>
      </c>
      <c r="F3" s="140" t="str">
        <f>+VLOOKUP(A3,'Estado SCI'!$A$16:$I$59,9,0)</f>
        <v>Mantenimiento del control</v>
      </c>
      <c r="G3" s="140">
        <f>+VLOOKUP(A3,'Estado SCI'!$A$16:$L$59,12,0)</f>
        <v>20.1234</v>
      </c>
      <c r="H3" s="140">
        <f t="shared" si="0"/>
        <v>3</v>
      </c>
      <c r="I3" s="140" t="str">
        <f>+IF(VLOOKUP(A3,'Estado SCI'!$A$16:$G$59,7,0)="","",VLOOKUP(A3,'Estado SCI'!$A$16:$G$59,7,0))</f>
        <v>Si</v>
      </c>
      <c r="J3" s="141">
        <f t="shared" ref="J3:J45" si="2">+IF(I3="Si",1,IF(I3="En proceso",0.5,0))</f>
        <v>1</v>
      </c>
      <c r="K3" s="142">
        <f t="shared" si="1"/>
        <v>0.95833333333333337</v>
      </c>
    </row>
    <row r="4" spans="1:11" x14ac:dyDescent="0.25">
      <c r="A4" s="140" t="s">
        <v>145</v>
      </c>
      <c r="B4" s="140" t="s">
        <v>32</v>
      </c>
      <c r="C4" s="140" t="s">
        <v>33</v>
      </c>
      <c r="D4" s="140" t="s">
        <v>40</v>
      </c>
      <c r="E4" s="140" t="s">
        <v>41</v>
      </c>
      <c r="F4" s="140" t="str">
        <f>+VLOOKUP(A4,'Estado SCI'!$A$16:$I$59,9,0)</f>
        <v>Mantenimiento del control</v>
      </c>
      <c r="G4" s="140">
        <f>+VLOOKUP(A4,'Estado SCI'!$A$16:$L$59,12,0)</f>
        <v>20.123449999999998</v>
      </c>
      <c r="H4" s="140">
        <f t="shared" si="0"/>
        <v>4</v>
      </c>
      <c r="I4" s="140" t="str">
        <f>+IF(VLOOKUP(A4,'Estado SCI'!$A$16:$G$59,7,0)="","",VLOOKUP(A4,'Estado SCI'!$A$16:$G$59,7,0))</f>
        <v>Si</v>
      </c>
      <c r="J4" s="141">
        <f t="shared" si="2"/>
        <v>1</v>
      </c>
      <c r="K4" s="142">
        <f t="shared" si="1"/>
        <v>0.95833333333333337</v>
      </c>
    </row>
    <row r="5" spans="1:11" x14ac:dyDescent="0.25">
      <c r="A5" s="140" t="s">
        <v>146</v>
      </c>
      <c r="B5" s="140" t="s">
        <v>32</v>
      </c>
      <c r="C5" s="140" t="s">
        <v>33</v>
      </c>
      <c r="D5" s="140" t="s">
        <v>42</v>
      </c>
      <c r="E5" s="140" t="s">
        <v>43</v>
      </c>
      <c r="F5" s="140" t="str">
        <f>+VLOOKUP(A5,'Estado SCI'!$A$16:$I$59,9,0)</f>
        <v>Oportunidad de mejora</v>
      </c>
      <c r="G5" s="140">
        <f>+VLOOKUP(A5,'Estado SCI'!$A$16:$L$59,12,0)</f>
        <v>10.123455999999999</v>
      </c>
      <c r="H5" s="140">
        <f t="shared" si="0"/>
        <v>1</v>
      </c>
      <c r="I5" s="140" t="str">
        <f>+IF(VLOOKUP(A5,'Estado SCI'!$A$16:$G$59,7,0)="","",VLOOKUP(A5,'Estado SCI'!$A$16:$G$59,7,0))</f>
        <v>En proceso</v>
      </c>
      <c r="J5" s="141">
        <f t="shared" si="2"/>
        <v>0.5</v>
      </c>
      <c r="K5" s="142">
        <f t="shared" si="1"/>
        <v>0.95833333333333337</v>
      </c>
    </row>
    <row r="6" spans="1:11" x14ac:dyDescent="0.25">
      <c r="A6" s="140" t="s">
        <v>147</v>
      </c>
      <c r="B6" s="140" t="s">
        <v>32</v>
      </c>
      <c r="C6" s="140" t="s">
        <v>33</v>
      </c>
      <c r="D6" s="140" t="s">
        <v>44</v>
      </c>
      <c r="E6" s="140" t="s">
        <v>45</v>
      </c>
      <c r="F6" s="140" t="str">
        <f>+VLOOKUP(A6,'Estado SCI'!$A$16:$I$59,9,0)</f>
        <v>Mantenimiento del control</v>
      </c>
      <c r="G6" s="140">
        <f>+VLOOKUP(A6,'Estado SCI'!$A$16:$L$59,12,0)</f>
        <v>20.123456780000001</v>
      </c>
      <c r="H6" s="140">
        <f t="shared" si="0"/>
        <v>5</v>
      </c>
      <c r="I6" s="140" t="str">
        <f>+IF(VLOOKUP(A6,'Estado SCI'!$A$16:$G$59,7,0)="","",VLOOKUP(A6,'Estado SCI'!$A$16:$G$59,7,0))</f>
        <v>Si</v>
      </c>
      <c r="J6" s="141">
        <f t="shared" si="2"/>
        <v>1</v>
      </c>
      <c r="K6" s="142">
        <f t="shared" si="1"/>
        <v>0.95833333333333337</v>
      </c>
    </row>
    <row r="7" spans="1:11" x14ac:dyDescent="0.25">
      <c r="A7" s="140" t="s">
        <v>148</v>
      </c>
      <c r="B7" s="140" t="s">
        <v>32</v>
      </c>
      <c r="C7" s="140" t="s">
        <v>33</v>
      </c>
      <c r="D7" s="140" t="s">
        <v>46</v>
      </c>
      <c r="E7" s="140" t="s">
        <v>47</v>
      </c>
      <c r="F7" s="140" t="str">
        <f>+VLOOKUP(A7,'Estado SCI'!$A$16:$I$59,9,0)</f>
        <v>Mantenimiento del control</v>
      </c>
      <c r="G7" s="140">
        <f>+VLOOKUP(A7,'Estado SCI'!$A$16:$L$59,12,0)</f>
        <v>20.123456788999999</v>
      </c>
      <c r="H7" s="140">
        <f t="shared" si="0"/>
        <v>6</v>
      </c>
      <c r="I7" s="140" t="str">
        <f>+IF(VLOOKUP(A7,'Estado SCI'!$A$16:$G$59,7,0)="","",VLOOKUP(A7,'Estado SCI'!$A$16:$G$59,7,0))</f>
        <v>Si</v>
      </c>
      <c r="J7" s="141">
        <f t="shared" si="2"/>
        <v>1</v>
      </c>
      <c r="K7" s="142">
        <f t="shared" si="1"/>
        <v>0.95833333333333337</v>
      </c>
    </row>
    <row r="8" spans="1:11" x14ac:dyDescent="0.25">
      <c r="A8" s="140" t="s">
        <v>149</v>
      </c>
      <c r="B8" s="140" t="s">
        <v>32</v>
      </c>
      <c r="C8" s="140" t="s">
        <v>33</v>
      </c>
      <c r="D8" s="140" t="s">
        <v>48</v>
      </c>
      <c r="E8" s="140" t="s">
        <v>49</v>
      </c>
      <c r="F8" s="140" t="str">
        <f>+VLOOKUP(A8,'Estado SCI'!$A$16:$I$59,9,0)</f>
        <v>Mantenimiento del control</v>
      </c>
      <c r="G8" s="140">
        <f>+VLOOKUP(A8,'Estado SCI'!$A$16:$L$59,12,0)</f>
        <v>20.1234567891</v>
      </c>
      <c r="H8" s="140">
        <f t="shared" si="0"/>
        <v>7</v>
      </c>
      <c r="I8" s="140" t="str">
        <f>+IF(VLOOKUP(A8,'Estado SCI'!$A$16:$G$59,7,0)="","",VLOOKUP(A8,'Estado SCI'!$A$16:$G$59,7,0))</f>
        <v>Si</v>
      </c>
      <c r="J8" s="141">
        <f t="shared" si="2"/>
        <v>1</v>
      </c>
      <c r="K8" s="142">
        <f t="shared" si="1"/>
        <v>0.95833333333333337</v>
      </c>
    </row>
    <row r="9" spans="1:11" x14ac:dyDescent="0.25">
      <c r="A9" s="140" t="s">
        <v>150</v>
      </c>
      <c r="B9" s="140" t="s">
        <v>32</v>
      </c>
      <c r="C9" s="140" t="s">
        <v>33</v>
      </c>
      <c r="D9" s="140" t="s">
        <v>50</v>
      </c>
      <c r="E9" s="140" t="s">
        <v>51</v>
      </c>
      <c r="F9" s="140" t="str">
        <f>+VLOOKUP(A9,'Estado SCI'!$A$16:$I$59,9,0)</f>
        <v>Mantenimiento del control</v>
      </c>
      <c r="G9" s="140">
        <f>+VLOOKUP(A9,'Estado SCI'!$A$16:$L$59,12,0)</f>
        <v>20.123456789119999</v>
      </c>
      <c r="H9" s="140">
        <f t="shared" si="0"/>
        <v>8</v>
      </c>
      <c r="I9" s="140" t="str">
        <f>+IF(VLOOKUP(A9,'Estado SCI'!$A$16:$G$59,7,0)="","",VLOOKUP(A9,'Estado SCI'!$A$16:$G$59,7,0))</f>
        <v>Si</v>
      </c>
      <c r="J9" s="141">
        <f t="shared" si="2"/>
        <v>1</v>
      </c>
      <c r="K9" s="142">
        <f t="shared" si="1"/>
        <v>0.95833333333333337</v>
      </c>
    </row>
    <row r="10" spans="1:11" x14ac:dyDescent="0.25">
      <c r="A10" s="140" t="s">
        <v>151</v>
      </c>
      <c r="B10" s="140" t="s">
        <v>32</v>
      </c>
      <c r="C10" s="140" t="s">
        <v>33</v>
      </c>
      <c r="D10" s="140" t="s">
        <v>52</v>
      </c>
      <c r="E10" s="140" t="s">
        <v>53</v>
      </c>
      <c r="F10" s="140" t="str">
        <f>+VLOOKUP(A10,'Estado SCI'!$A$16:$I$59,9,0)</f>
        <v>Mantenimiento del control</v>
      </c>
      <c r="G10" s="140">
        <f>+VLOOKUP(A10,'Estado SCI'!$A$16:$L$59,12,0)</f>
        <v>20.123456789123001</v>
      </c>
      <c r="H10" s="140">
        <f t="shared" si="0"/>
        <v>9</v>
      </c>
      <c r="I10" s="140" t="str">
        <f>+IF(VLOOKUP(A10,'Estado SCI'!$A$16:$G$59,7,0)="","",VLOOKUP(A10,'Estado SCI'!$A$16:$G$59,7,0))</f>
        <v>Si</v>
      </c>
      <c r="J10" s="141">
        <f t="shared" si="2"/>
        <v>1</v>
      </c>
      <c r="K10" s="142">
        <f t="shared" si="1"/>
        <v>0.95833333333333337</v>
      </c>
    </row>
    <row r="11" spans="1:11" x14ac:dyDescent="0.25">
      <c r="A11" s="140" t="s">
        <v>152</v>
      </c>
      <c r="B11" s="140" t="s">
        <v>32</v>
      </c>
      <c r="C11" s="140" t="s">
        <v>33</v>
      </c>
      <c r="D11" s="140" t="s">
        <v>54</v>
      </c>
      <c r="E11" s="140" t="s">
        <v>55</v>
      </c>
      <c r="F11" s="140" t="str">
        <f>+VLOOKUP(A11,'Estado SCI'!$A$16:$I$59,9,0)</f>
        <v>Mantenimiento del control</v>
      </c>
      <c r="G11" s="140">
        <f>+VLOOKUP(A11,'Estado SCI'!$A$16:$L$59,12,0)</f>
        <v>20.123456789123399</v>
      </c>
      <c r="H11" s="140">
        <f t="shared" si="0"/>
        <v>10</v>
      </c>
      <c r="I11" s="140" t="str">
        <f>+IF(VLOOKUP(A11,'Estado SCI'!$A$16:$G$59,7,0)="","",VLOOKUP(A11,'Estado SCI'!$A$16:$G$59,7,0))</f>
        <v>Si</v>
      </c>
      <c r="J11" s="141">
        <f t="shared" si="2"/>
        <v>1</v>
      </c>
      <c r="K11" s="142">
        <f t="shared" si="1"/>
        <v>0.95833333333333337</v>
      </c>
    </row>
    <row r="12" spans="1:11" x14ac:dyDescent="0.25">
      <c r="A12" s="140" t="s">
        <v>153</v>
      </c>
      <c r="B12" s="140" t="s">
        <v>32</v>
      </c>
      <c r="C12" s="140" t="s">
        <v>33</v>
      </c>
      <c r="D12" s="140" t="s">
        <v>56</v>
      </c>
      <c r="E12" s="140" t="s">
        <v>57</v>
      </c>
      <c r="F12" s="140" t="str">
        <f>+VLOOKUP(A12,'Estado SCI'!$A$16:$I$59,9,0)</f>
        <v>Mantenimiento del control</v>
      </c>
      <c r="G12" s="140">
        <f>+VLOOKUP(A12,'Estado SCI'!$A$16:$L$59,12,0)</f>
        <v>20.123456789123448</v>
      </c>
      <c r="H12" s="140">
        <f t="shared" si="0"/>
        <v>11</v>
      </c>
      <c r="I12" s="140" t="str">
        <f>+IF(VLOOKUP(A12,'Estado SCI'!$A$16:$G$59,7,0)="","",VLOOKUP(A12,'Estado SCI'!$A$16:$G$59,7,0))</f>
        <v>Si</v>
      </c>
      <c r="J12" s="141">
        <f t="shared" si="2"/>
        <v>1</v>
      </c>
      <c r="K12" s="142">
        <f t="shared" si="1"/>
        <v>0.95833333333333337</v>
      </c>
    </row>
    <row r="13" spans="1:11" x14ac:dyDescent="0.25">
      <c r="A13" s="140" t="s">
        <v>154</v>
      </c>
      <c r="B13" s="140" t="s">
        <v>32</v>
      </c>
      <c r="C13" s="140" t="s">
        <v>33</v>
      </c>
      <c r="D13" s="140" t="s">
        <v>58</v>
      </c>
      <c r="E13" s="140" t="s">
        <v>59</v>
      </c>
      <c r="F13" s="140" t="str">
        <f>+VLOOKUP(A13,'Estado SCI'!$A$16:$I$59,9,0)</f>
        <v>Mantenimiento del control</v>
      </c>
      <c r="G13" s="140">
        <f>+VLOOKUP(A13,'Estado SCI'!$A$16:$L$59,12,0)</f>
        <v>20.123456789123455</v>
      </c>
      <c r="H13" s="140">
        <f t="shared" si="0"/>
        <v>12</v>
      </c>
      <c r="I13" s="140" t="str">
        <f>+IF(VLOOKUP(A13,'Estado SCI'!$A$16:$G$59,7,0)="","",VLOOKUP(A13,'Estado SCI'!$A$16:$G$59,7,0))</f>
        <v>Si</v>
      </c>
      <c r="J13" s="141">
        <f t="shared" si="2"/>
        <v>1</v>
      </c>
      <c r="K13" s="142">
        <f t="shared" si="1"/>
        <v>0.95833333333333337</v>
      </c>
    </row>
    <row r="14" spans="1:11" ht="15" customHeight="1" x14ac:dyDescent="0.25">
      <c r="A14" s="140" t="s">
        <v>155</v>
      </c>
      <c r="B14" s="140" t="str">
        <f>+VLOOKUP(A14,'Estado SCI'!$A$16:$C$59,3,0)</f>
        <v>EVALUACION DEL RIESGO</v>
      </c>
      <c r="C14" s="140" t="s">
        <v>62</v>
      </c>
      <c r="D14" s="140" t="s">
        <v>34</v>
      </c>
      <c r="E14" s="140" t="s">
        <v>156</v>
      </c>
      <c r="F14" s="140" t="str">
        <f>+VLOOKUP(A14,'Estado SCI'!$A$16:$I$59,9,0)</f>
        <v>Mantenimiento del control</v>
      </c>
      <c r="G14" s="140">
        <f>+VLOOKUP(A14,'Estado SCI'!$A$16:$L$59,12,0)</f>
        <v>40.229999999999997</v>
      </c>
      <c r="H14" s="140">
        <f t="shared" si="0"/>
        <v>13</v>
      </c>
      <c r="I14" s="140" t="str">
        <f>+IF(VLOOKUP(A14,'Estado SCI'!$A$16:$G$59,7,0)="","",VLOOKUP(A14,'Estado SCI'!$A$16:$G$59,7,0))</f>
        <v>Si</v>
      </c>
      <c r="J14" s="141">
        <f t="shared" si="2"/>
        <v>1</v>
      </c>
      <c r="K14" s="142">
        <f t="shared" si="1"/>
        <v>1</v>
      </c>
    </row>
    <row r="15" spans="1:11" ht="15" customHeight="1" x14ac:dyDescent="0.25">
      <c r="A15" s="140" t="s">
        <v>157</v>
      </c>
      <c r="B15" s="140" t="s">
        <v>61</v>
      </c>
      <c r="C15" s="140" t="s">
        <v>62</v>
      </c>
      <c r="D15" s="140" t="s">
        <v>37</v>
      </c>
      <c r="E15" s="140" t="s">
        <v>158</v>
      </c>
      <c r="F15" s="140" t="str">
        <f>+VLOOKUP(A15,'Estado SCI'!$A$16:$I$59,9,0)</f>
        <v>Mantenimiento del control</v>
      </c>
      <c r="G15" s="140">
        <f>+VLOOKUP(A15,'Estado SCI'!$A$16:$L$59,12,0)</f>
        <v>40.234000000000002</v>
      </c>
      <c r="H15" s="140">
        <f t="shared" si="0"/>
        <v>14</v>
      </c>
      <c r="I15" s="140" t="str">
        <f>+IF(VLOOKUP(A15,'Estado SCI'!$A$16:$G$59,7,0)="","",VLOOKUP(A15,'Estado SCI'!$A$16:$G$59,7,0))</f>
        <v>Si</v>
      </c>
      <c r="J15" s="141">
        <f t="shared" si="2"/>
        <v>1</v>
      </c>
      <c r="K15" s="142">
        <f t="shared" si="1"/>
        <v>1</v>
      </c>
    </row>
    <row r="16" spans="1:11" ht="15" customHeight="1" x14ac:dyDescent="0.25">
      <c r="A16" s="140" t="s">
        <v>159</v>
      </c>
      <c r="B16" s="140" t="s">
        <v>61</v>
      </c>
      <c r="C16" s="140" t="s">
        <v>62</v>
      </c>
      <c r="D16" s="140" t="s">
        <v>40</v>
      </c>
      <c r="E16" s="140" t="s">
        <v>160</v>
      </c>
      <c r="F16" s="140" t="str">
        <f>+VLOOKUP(A16,'Estado SCI'!$A$16:$I$59,9,0)</f>
        <v>Mantenimiento del control</v>
      </c>
      <c r="G16" s="140">
        <f>+VLOOKUP(A16,'Estado SCI'!$A$16:$L$59,12,0)</f>
        <v>40.234499999999997</v>
      </c>
      <c r="H16" s="140">
        <f t="shared" si="0"/>
        <v>15</v>
      </c>
      <c r="I16" s="140" t="str">
        <f>+IF(VLOOKUP(A16,'Estado SCI'!$A$16:$G$59,7,0)="","",VLOOKUP(A16,'Estado SCI'!$A$16:$G$59,7,0))</f>
        <v>Si</v>
      </c>
      <c r="J16" s="141">
        <f t="shared" si="2"/>
        <v>1</v>
      </c>
      <c r="K16" s="142">
        <f t="shared" si="1"/>
        <v>1</v>
      </c>
    </row>
    <row r="17" spans="1:11" ht="15.75" customHeight="1" x14ac:dyDescent="0.25">
      <c r="A17" s="140" t="s">
        <v>161</v>
      </c>
      <c r="B17" s="140" t="s">
        <v>61</v>
      </c>
      <c r="C17" s="140" t="s">
        <v>62</v>
      </c>
      <c r="D17" s="140" t="s">
        <v>42</v>
      </c>
      <c r="E17" s="140" t="s">
        <v>66</v>
      </c>
      <c r="F17" s="140" t="str">
        <f>+VLOOKUP(A17,'Estado SCI'!$A$16:$I$59,9,0)</f>
        <v>Mantenimiento del control</v>
      </c>
      <c r="G17" s="140">
        <f>+VLOOKUP(A17,'Estado SCI'!$A$16:$L$59,12,0)</f>
        <v>40.234560000000002</v>
      </c>
      <c r="H17" s="140">
        <f t="shared" si="0"/>
        <v>16</v>
      </c>
      <c r="I17" s="140" t="str">
        <f>+IF(VLOOKUP(A17,'Estado SCI'!$A$16:$G$59,7,0)="","",VLOOKUP(A17,'Estado SCI'!$A$16:$G$59,7,0))</f>
        <v>Si</v>
      </c>
      <c r="J17" s="141">
        <f t="shared" si="2"/>
        <v>1</v>
      </c>
      <c r="K17" s="142">
        <f t="shared" si="1"/>
        <v>1</v>
      </c>
    </row>
    <row r="18" spans="1:11" ht="15" customHeight="1" x14ac:dyDescent="0.25">
      <c r="A18" s="140" t="s">
        <v>162</v>
      </c>
      <c r="B18" s="140" t="s">
        <v>61</v>
      </c>
      <c r="C18" s="140" t="s">
        <v>80</v>
      </c>
      <c r="D18" s="140" t="s">
        <v>34</v>
      </c>
      <c r="E18" s="140" t="s">
        <v>69</v>
      </c>
      <c r="F18" s="140" t="str">
        <f>+VLOOKUP(A18,'Estado SCI'!$A$16:$I$59,9,0)</f>
        <v>Mantenimiento del control</v>
      </c>
      <c r="G18" s="140">
        <f>+VLOOKUP(A18,'Estado SCI'!$A$16:$L$59,12,0)</f>
        <v>40.234566999999998</v>
      </c>
      <c r="H18" s="140">
        <f t="shared" si="0"/>
        <v>17</v>
      </c>
      <c r="I18" s="140" t="str">
        <f>+IF(VLOOKUP(A18,'Estado SCI'!$A$16:$G$59,7,0)="","",VLOOKUP(A18,'Estado SCI'!$A$16:$G$59,7,0))</f>
        <v>Si</v>
      </c>
      <c r="J18" s="141">
        <f t="shared" si="2"/>
        <v>1</v>
      </c>
      <c r="K18" s="142">
        <f t="shared" si="1"/>
        <v>1</v>
      </c>
    </row>
    <row r="19" spans="1:11" ht="15" customHeight="1" x14ac:dyDescent="0.25">
      <c r="A19" s="140" t="s">
        <v>163</v>
      </c>
      <c r="B19" s="140" t="s">
        <v>61</v>
      </c>
      <c r="C19" s="140" t="s">
        <v>80</v>
      </c>
      <c r="D19" s="140" t="s">
        <v>37</v>
      </c>
      <c r="E19" s="140" t="s">
        <v>70</v>
      </c>
      <c r="F19" s="140" t="str">
        <f>+VLOOKUP(A19,'Estado SCI'!$A$16:$I$59,9,0)</f>
        <v>Mantenimiento del control</v>
      </c>
      <c r="G19" s="140">
        <f>+VLOOKUP(A19,'Estado SCI'!$A$16:$L$59,12,0)</f>
        <v>40.234567800000001</v>
      </c>
      <c r="H19" s="140">
        <f t="shared" si="0"/>
        <v>18</v>
      </c>
      <c r="I19" s="140" t="str">
        <f>+IF(VLOOKUP(A19,'Estado SCI'!$A$16:$G$59,7,0)="","",VLOOKUP(A19,'Estado SCI'!$A$16:$G$59,7,0))</f>
        <v>Si</v>
      </c>
      <c r="J19" s="141">
        <f t="shared" si="2"/>
        <v>1</v>
      </c>
      <c r="K19" s="142">
        <f t="shared" si="1"/>
        <v>1</v>
      </c>
    </row>
    <row r="20" spans="1:11" ht="15" customHeight="1" x14ac:dyDescent="0.25">
      <c r="A20" s="140" t="s">
        <v>164</v>
      </c>
      <c r="B20" s="140" t="s">
        <v>61</v>
      </c>
      <c r="C20" s="140" t="s">
        <v>80</v>
      </c>
      <c r="D20" s="140" t="s">
        <v>40</v>
      </c>
      <c r="E20" s="140" t="s">
        <v>71</v>
      </c>
      <c r="F20" s="140" t="str">
        <f>+VLOOKUP(A20,'Estado SCI'!$A$16:$I$59,9,0)</f>
        <v>Mantenimiento del control</v>
      </c>
      <c r="G20" s="140">
        <f>+VLOOKUP(A20,'Estado SCI'!$A$16:$L$59,12,0)</f>
        <v>40.234567890000001</v>
      </c>
      <c r="H20" s="140">
        <f t="shared" si="0"/>
        <v>19</v>
      </c>
      <c r="I20" s="140" t="str">
        <f>+IF(VLOOKUP(A20,'Estado SCI'!$A$16:$G$59,7,0)="","",VLOOKUP(A20,'Estado SCI'!$A$16:$G$59,7,0))</f>
        <v>Si</v>
      </c>
      <c r="J20" s="141">
        <f t="shared" si="2"/>
        <v>1</v>
      </c>
      <c r="K20" s="142">
        <f t="shared" si="1"/>
        <v>1</v>
      </c>
    </row>
    <row r="21" spans="1:11" ht="15.75" customHeight="1" x14ac:dyDescent="0.25">
      <c r="A21" s="140" t="s">
        <v>165</v>
      </c>
      <c r="B21" s="140" t="s">
        <v>61</v>
      </c>
      <c r="C21" s="140" t="s">
        <v>80</v>
      </c>
      <c r="D21" s="140" t="s">
        <v>34</v>
      </c>
      <c r="E21" s="140" t="s">
        <v>74</v>
      </c>
      <c r="F21" s="140" t="str">
        <f>+VLOOKUP(A21,'Estado SCI'!$A$16:$I$59,9,0)</f>
        <v>Mantenimiento del control</v>
      </c>
      <c r="G21" s="140">
        <f>+VLOOKUP(A21,'Estado SCI'!$A$16:$L$59,12,0)</f>
        <v>40.234567891200001</v>
      </c>
      <c r="H21" s="140">
        <f t="shared" si="0"/>
        <v>20</v>
      </c>
      <c r="I21" s="140" t="str">
        <f>+IF(VLOOKUP(A21,'Estado SCI'!$A$16:$G$59,7,0)="","",VLOOKUP(A21,'Estado SCI'!$A$16:$G$59,7,0))</f>
        <v>Si</v>
      </c>
      <c r="J21" s="141">
        <f t="shared" si="2"/>
        <v>1</v>
      </c>
      <c r="K21" s="142">
        <f t="shared" si="1"/>
        <v>1</v>
      </c>
    </row>
    <row r="22" spans="1:11" ht="15" customHeight="1" x14ac:dyDescent="0.25">
      <c r="A22" s="140" t="s">
        <v>166</v>
      </c>
      <c r="B22" s="140" t="s">
        <v>61</v>
      </c>
      <c r="C22" s="140" t="s">
        <v>88</v>
      </c>
      <c r="D22" s="140" t="s">
        <v>37</v>
      </c>
      <c r="E22" s="140" t="s">
        <v>75</v>
      </c>
      <c r="F22" s="140" t="str">
        <f>+VLOOKUP(A22,'Estado SCI'!$A$16:$I$59,9,0)</f>
        <v>Mantenimiento del control</v>
      </c>
      <c r="G22" s="140">
        <f>+VLOOKUP(A22,'Estado SCI'!$A$16:$L$59,12,0)</f>
        <v>40.23456789123</v>
      </c>
      <c r="H22" s="140">
        <f t="shared" si="0"/>
        <v>21</v>
      </c>
      <c r="I22" s="140" t="str">
        <f>+IF(VLOOKUP(A22,'Estado SCI'!$A$16:$G$59,7,0)="","",VLOOKUP(A22,'Estado SCI'!$A$16:$G$59,7,0))</f>
        <v>Si</v>
      </c>
      <c r="J22" s="141">
        <f t="shared" si="2"/>
        <v>1</v>
      </c>
      <c r="K22" s="142">
        <f t="shared" si="1"/>
        <v>1</v>
      </c>
    </row>
    <row r="23" spans="1:11" ht="15" customHeight="1" x14ac:dyDescent="0.25">
      <c r="A23" s="140" t="s">
        <v>167</v>
      </c>
      <c r="B23" s="140" t="s">
        <v>61</v>
      </c>
      <c r="C23" s="140" t="s">
        <v>88</v>
      </c>
      <c r="D23" s="140" t="s">
        <v>40</v>
      </c>
      <c r="E23" s="140" t="s">
        <v>77</v>
      </c>
      <c r="F23" s="140" t="str">
        <f>+VLOOKUP(A23,'Estado SCI'!$A$16:$I$59,9,0)</f>
        <v>Mantenimiento del control</v>
      </c>
      <c r="G23" s="140">
        <f>+VLOOKUP(A23,'Estado SCI'!$A$16:$L$59,12,0)</f>
        <v>40.234567891234001</v>
      </c>
      <c r="H23" s="140">
        <f t="shared" si="0"/>
        <v>22</v>
      </c>
      <c r="I23" s="140" t="str">
        <f>+IF(VLOOKUP(A23,'Estado SCI'!$A$16:$G$59,7,0)="","",VLOOKUP(A23,'Estado SCI'!$A$16:$G$59,7,0))</f>
        <v>Si</v>
      </c>
      <c r="J23" s="141">
        <f t="shared" si="2"/>
        <v>1</v>
      </c>
      <c r="K23" s="142">
        <f t="shared" si="1"/>
        <v>1</v>
      </c>
    </row>
    <row r="24" spans="1:11" ht="15" customHeight="1" x14ac:dyDescent="0.25">
      <c r="A24" s="140" t="s">
        <v>168</v>
      </c>
      <c r="B24" s="140" t="str">
        <f>+VLOOKUP(A24,'Estado SCI'!$A$16:$C$59,3,0)</f>
        <v>ACTIVIDADES DE CONTROL</v>
      </c>
      <c r="C24" s="140" t="s">
        <v>88</v>
      </c>
      <c r="D24" s="140" t="s">
        <v>34</v>
      </c>
      <c r="E24" s="140" t="s">
        <v>81</v>
      </c>
      <c r="F24" s="140" t="str">
        <f>+VLOOKUP(A24,'Estado SCI'!$A$16:$I$59,9,0)</f>
        <v>Oportunidad de mejora</v>
      </c>
      <c r="G24" s="140">
        <f>+VLOOKUP(A24,'Estado SCI'!$A$16:$L$59,12,0)</f>
        <v>50.31</v>
      </c>
      <c r="H24" s="140">
        <f t="shared" si="0"/>
        <v>23</v>
      </c>
      <c r="I24" s="140" t="str">
        <f>+IF(VLOOKUP(A24,'Estado SCI'!$A$16:$G$59,7,0)="","",VLOOKUP(A24,'Estado SCI'!$A$16:$G$59,7,0))</f>
        <v>En proceso</v>
      </c>
      <c r="J24" s="141">
        <f t="shared" si="2"/>
        <v>0.5</v>
      </c>
      <c r="K24" s="142">
        <f t="shared" si="1"/>
        <v>0.7</v>
      </c>
    </row>
    <row r="25" spans="1:11" ht="15" customHeight="1" x14ac:dyDescent="0.25">
      <c r="A25" s="140" t="s">
        <v>169</v>
      </c>
      <c r="B25" s="140" t="s">
        <v>79</v>
      </c>
      <c r="C25" s="140" t="s">
        <v>88</v>
      </c>
      <c r="D25" s="140" t="s">
        <v>37</v>
      </c>
      <c r="E25" s="140" t="s">
        <v>82</v>
      </c>
      <c r="F25" s="140" t="str">
        <f>+VLOOKUP(A25,'Estado SCI'!$A$16:$I$59,9,0)</f>
        <v>Oportunidad de mejora</v>
      </c>
      <c r="G25" s="140">
        <f>+VLOOKUP(A25,'Estado SCI'!$A$16:$L$59,12,0)</f>
        <v>50.323</v>
      </c>
      <c r="H25" s="140">
        <f t="shared" si="0"/>
        <v>24</v>
      </c>
      <c r="I25" s="140" t="str">
        <f>+IF(VLOOKUP(A25,'Estado SCI'!$A$16:$G$59,7,0)="","",VLOOKUP(A25,'Estado SCI'!$A$16:$G$59,7,0))</f>
        <v>En proceso</v>
      </c>
      <c r="J25" s="141">
        <f t="shared" si="2"/>
        <v>0.5</v>
      </c>
      <c r="K25" s="142">
        <f t="shared" si="1"/>
        <v>0.7</v>
      </c>
    </row>
    <row r="26" spans="1:11" ht="15" customHeight="1" x14ac:dyDescent="0.25">
      <c r="A26" s="140" t="s">
        <v>170</v>
      </c>
      <c r="B26" s="140" t="s">
        <v>79</v>
      </c>
      <c r="C26" s="140" t="s">
        <v>88</v>
      </c>
      <c r="D26" s="140" t="s">
        <v>40</v>
      </c>
      <c r="E26" s="140" t="s">
        <v>83</v>
      </c>
      <c r="F26" s="140" t="str">
        <f>+VLOOKUP(A26,'Estado SCI'!$A$16:$I$59,9,0)</f>
        <v>Oportunidad de mejora</v>
      </c>
      <c r="G26" s="140">
        <f>+VLOOKUP(A26,'Estado SCI'!$A$16:$L$59,12,0)</f>
        <v>50.323999999999998</v>
      </c>
      <c r="H26" s="140">
        <f t="shared" si="0"/>
        <v>25</v>
      </c>
      <c r="I26" s="140" t="str">
        <f>+IF(VLOOKUP(A26,'Estado SCI'!$A$16:$G$59,7,0)="","",VLOOKUP(A26,'Estado SCI'!$A$16:$G$59,7,0))</f>
        <v>En proceso</v>
      </c>
      <c r="J26" s="141">
        <f t="shared" si="2"/>
        <v>0.5</v>
      </c>
      <c r="K26" s="142">
        <f t="shared" si="1"/>
        <v>0.7</v>
      </c>
    </row>
    <row r="27" spans="1:11" ht="15.75" customHeight="1" x14ac:dyDescent="0.25">
      <c r="A27" s="140" t="s">
        <v>171</v>
      </c>
      <c r="B27" s="140" t="s">
        <v>79</v>
      </c>
      <c r="C27" s="140" t="s">
        <v>88</v>
      </c>
      <c r="D27" s="140" t="s">
        <v>42</v>
      </c>
      <c r="E27" s="140" t="s">
        <v>84</v>
      </c>
      <c r="F27" s="140" t="str">
        <f>+VLOOKUP(A27,'Estado SCI'!$A$16:$I$59,9,0)</f>
        <v>Mantenimiento del control</v>
      </c>
      <c r="G27" s="140">
        <f>+VLOOKUP(A27,'Estado SCI'!$A$16:$L$59,12,0)</f>
        <v>60.325000000000003</v>
      </c>
      <c r="H27" s="140">
        <f t="shared" si="0"/>
        <v>26</v>
      </c>
      <c r="I27" s="140" t="str">
        <f>+IF(VLOOKUP(A27,'Estado SCI'!$A$16:$G$59,7,0)="","",VLOOKUP(A27,'Estado SCI'!$A$16:$G$59,7,0))</f>
        <v>Si</v>
      </c>
      <c r="J27" s="141">
        <f t="shared" si="2"/>
        <v>1</v>
      </c>
      <c r="K27" s="142">
        <f t="shared" si="1"/>
        <v>0.7</v>
      </c>
    </row>
    <row r="28" spans="1:11" ht="15" customHeight="1" x14ac:dyDescent="0.25">
      <c r="A28" s="140" t="s">
        <v>172</v>
      </c>
      <c r="B28" s="140" t="s">
        <v>79</v>
      </c>
      <c r="C28" s="140" t="s">
        <v>98</v>
      </c>
      <c r="D28" s="140" t="s">
        <v>44</v>
      </c>
      <c r="E28" s="140" t="s">
        <v>85</v>
      </c>
      <c r="F28" s="140" t="str">
        <f>+VLOOKUP(A28,'Estado SCI'!$A$16:$I$59,9,0)</f>
        <v>Mantenimiento del control</v>
      </c>
      <c r="G28" s="140">
        <f>+VLOOKUP(A28,'Estado SCI'!$A$16:$L$59,12,0)</f>
        <v>60.326000000000001</v>
      </c>
      <c r="H28" s="140">
        <f t="shared" si="0"/>
        <v>27</v>
      </c>
      <c r="I28" s="140" t="str">
        <f>+IF(VLOOKUP(A28,'Estado SCI'!$A$16:$G$59,7,0)="","",VLOOKUP(A28,'Estado SCI'!$A$16:$G$59,7,0))</f>
        <v>Si</v>
      </c>
      <c r="J28" s="141">
        <f t="shared" si="2"/>
        <v>1</v>
      </c>
      <c r="K28" s="142">
        <f t="shared" si="1"/>
        <v>0.7</v>
      </c>
    </row>
    <row r="29" spans="1:11" ht="15" customHeight="1" x14ac:dyDescent="0.25">
      <c r="A29" s="140" t="s">
        <v>173</v>
      </c>
      <c r="B29" s="140" t="str">
        <f>+VLOOKUP(A29,'Estado SCI'!$A$16:$C$59,3,0)</f>
        <v>INFORMACION Y COMUNICACIÓN</v>
      </c>
      <c r="C29" s="140" t="s">
        <v>98</v>
      </c>
      <c r="D29" s="140" t="s">
        <v>34</v>
      </c>
      <c r="E29" s="140" t="s">
        <v>89</v>
      </c>
      <c r="F29" s="140" t="str">
        <f>+VLOOKUP(A29,'Estado SCI'!$A$16:$I$59,9,0)</f>
        <v>Mantenimiento del control</v>
      </c>
      <c r="G29" s="140">
        <f>+VLOOKUP(A29,'Estado SCI'!$A$16:$L$59,12,0)</f>
        <v>80.412000000000006</v>
      </c>
      <c r="H29" s="140">
        <f t="shared" si="0"/>
        <v>29</v>
      </c>
      <c r="I29" s="140" t="str">
        <f>+IF(VLOOKUP(A29,'Estado SCI'!$A$16:$G$59,7,0)="","",VLOOKUP(A29,'Estado SCI'!$A$16:$G$59,7,0))</f>
        <v>Si</v>
      </c>
      <c r="J29" s="141">
        <f t="shared" si="2"/>
        <v>1</v>
      </c>
      <c r="K29" s="142">
        <f t="shared" si="1"/>
        <v>0.9285714285714286</v>
      </c>
    </row>
    <row r="30" spans="1:11" ht="15" customHeight="1" x14ac:dyDescent="0.25">
      <c r="A30" s="140" t="s">
        <v>174</v>
      </c>
      <c r="B30" s="140" t="s">
        <v>87</v>
      </c>
      <c r="C30" s="140" t="s">
        <v>98</v>
      </c>
      <c r="D30" s="140" t="s">
        <v>37</v>
      </c>
      <c r="E30" s="140" t="s">
        <v>90</v>
      </c>
      <c r="F30" s="140" t="str">
        <f>+VLOOKUP(A30,'Estado SCI'!$A$16:$I$59,9,0)</f>
        <v>Mantenimiento del control</v>
      </c>
      <c r="G30" s="140">
        <f>+VLOOKUP(A30,'Estado SCI'!$A$16:$L$59,12,0)</f>
        <v>80.412300000000002</v>
      </c>
      <c r="H30" s="140">
        <f t="shared" si="0"/>
        <v>30</v>
      </c>
      <c r="I30" s="140" t="str">
        <f>+IF(VLOOKUP(A30,'Estado SCI'!$A$16:$G$59,7,0)="","",VLOOKUP(A30,'Estado SCI'!$A$16:$G$59,7,0))</f>
        <v>Si</v>
      </c>
      <c r="J30" s="141">
        <f t="shared" si="2"/>
        <v>1</v>
      </c>
      <c r="K30" s="142">
        <f t="shared" si="1"/>
        <v>0.9285714285714286</v>
      </c>
    </row>
    <row r="31" spans="1:11" ht="15.75" customHeight="1" x14ac:dyDescent="0.25">
      <c r="A31" s="140" t="s">
        <v>175</v>
      </c>
      <c r="B31" s="140" t="s">
        <v>87</v>
      </c>
      <c r="C31" s="140" t="s">
        <v>98</v>
      </c>
      <c r="D31" s="140" t="s">
        <v>40</v>
      </c>
      <c r="E31" s="140" t="s">
        <v>91</v>
      </c>
      <c r="F31" s="140" t="str">
        <f>+VLOOKUP(A31,'Estado SCI'!$A$16:$I$59,9,0)</f>
        <v>Mantenimiento del control</v>
      </c>
      <c r="G31" s="140">
        <f>+VLOOKUP(A31,'Estado SCI'!$A$16:$L$59,12,0)</f>
        <v>80.41234</v>
      </c>
      <c r="H31" s="140">
        <f t="shared" si="0"/>
        <v>31</v>
      </c>
      <c r="I31" s="140" t="str">
        <f>+IF(VLOOKUP(A31,'Estado SCI'!$A$16:$G$59,7,0)="","",VLOOKUP(A31,'Estado SCI'!$A$16:$G$59,7,0))</f>
        <v>Si</v>
      </c>
      <c r="J31" s="141">
        <f t="shared" si="2"/>
        <v>1</v>
      </c>
      <c r="K31" s="142">
        <f t="shared" si="1"/>
        <v>0.9285714285714286</v>
      </c>
    </row>
    <row r="32" spans="1:11" x14ac:dyDescent="0.25">
      <c r="A32" s="140" t="s">
        <v>176</v>
      </c>
      <c r="B32" s="140" t="s">
        <v>87</v>
      </c>
      <c r="C32" s="140" t="s">
        <v>104</v>
      </c>
      <c r="D32" s="140" t="s">
        <v>42</v>
      </c>
      <c r="E32" s="140" t="s">
        <v>92</v>
      </c>
      <c r="F32" s="140" t="str">
        <f>+VLOOKUP(A32,'Estado SCI'!$A$16:$I$59,9,0)</f>
        <v>Mantenimiento del control</v>
      </c>
      <c r="G32" s="140">
        <f>+VLOOKUP(A32,'Estado SCI'!$A$16:$L$59,12,0)</f>
        <v>80.412345000000002</v>
      </c>
      <c r="H32" s="140">
        <f t="shared" si="0"/>
        <v>32</v>
      </c>
      <c r="I32" s="140" t="str">
        <f>+IF(VLOOKUP(A32,'Estado SCI'!$A$16:$G$59,7,0)="","",VLOOKUP(A32,'Estado SCI'!$A$16:$G$59,7,0))</f>
        <v>Si</v>
      </c>
      <c r="J32" s="141">
        <f t="shared" si="2"/>
        <v>1</v>
      </c>
      <c r="K32" s="142">
        <f t="shared" si="1"/>
        <v>0.9285714285714286</v>
      </c>
    </row>
    <row r="33" spans="1:11" x14ac:dyDescent="0.25">
      <c r="A33" s="140" t="s">
        <v>177</v>
      </c>
      <c r="B33" s="140" t="s">
        <v>87</v>
      </c>
      <c r="C33" s="140" t="s">
        <v>178</v>
      </c>
      <c r="D33" s="140" t="s">
        <v>44</v>
      </c>
      <c r="E33" s="140" t="s">
        <v>93</v>
      </c>
      <c r="F33" s="140" t="str">
        <f>+VLOOKUP(A33,'Estado SCI'!$A$16:$I$59,9,0)</f>
        <v>Mantenimiento del control</v>
      </c>
      <c r="G33" s="140">
        <f>+VLOOKUP(A33,'Estado SCI'!$A$16:$L$59,12,0)</f>
        <v>80.412345599999995</v>
      </c>
      <c r="H33" s="140">
        <f t="shared" si="0"/>
        <v>33</v>
      </c>
      <c r="I33" s="140" t="str">
        <f>+IF(VLOOKUP(A33,'Estado SCI'!$A$16:$G$59,7,0)="","",VLOOKUP(A33,'Estado SCI'!$A$16:$G$59,7,0))</f>
        <v>Si</v>
      </c>
      <c r="J33" s="141">
        <f t="shared" si="2"/>
        <v>1</v>
      </c>
      <c r="K33" s="142">
        <f t="shared" si="1"/>
        <v>0.9285714285714286</v>
      </c>
    </row>
    <row r="34" spans="1:11" x14ac:dyDescent="0.25">
      <c r="A34" s="140" t="s">
        <v>179</v>
      </c>
      <c r="B34" s="140" t="s">
        <v>87</v>
      </c>
      <c r="C34" s="140" t="s">
        <v>178</v>
      </c>
      <c r="D34" s="140" t="s">
        <v>46</v>
      </c>
      <c r="E34" s="140" t="s">
        <v>94</v>
      </c>
      <c r="F34" s="140" t="str">
        <f>+VLOOKUP(A34,'Estado SCI'!$A$16:$I$59,9,0)</f>
        <v>Mantenimiento del control</v>
      </c>
      <c r="G34" s="140">
        <f>+VLOOKUP(A34,'Estado SCI'!$A$16:$L$59,12,0)</f>
        <v>80.412345669999993</v>
      </c>
      <c r="H34" s="140">
        <f t="shared" si="0"/>
        <v>34</v>
      </c>
      <c r="I34" s="140" t="str">
        <f>+IF(VLOOKUP(A34,'Estado SCI'!$A$16:$G$59,7,0)="","",VLOOKUP(A34,'Estado SCI'!$A$16:$G$59,7,0))</f>
        <v>Si</v>
      </c>
      <c r="J34" s="141">
        <f t="shared" si="2"/>
        <v>1</v>
      </c>
      <c r="K34" s="142">
        <f t="shared" si="1"/>
        <v>0.9285714285714286</v>
      </c>
    </row>
    <row r="35" spans="1:11" x14ac:dyDescent="0.25">
      <c r="A35" s="140" t="s">
        <v>180</v>
      </c>
      <c r="B35" s="140" t="s">
        <v>87</v>
      </c>
      <c r="C35" s="140" t="s">
        <v>178</v>
      </c>
      <c r="D35" s="140" t="s">
        <v>48</v>
      </c>
      <c r="E35" s="140" t="s">
        <v>95</v>
      </c>
      <c r="F35" s="140" t="str">
        <f>+VLOOKUP(A35,'Estado SCI'!$A$16:$I$59,9,0)</f>
        <v>Oportunidad de mejora</v>
      </c>
      <c r="G35" s="140">
        <f>+VLOOKUP(A35,'Estado SCI'!$A$16:$L$59,12,0)</f>
        <v>70.412345677999994</v>
      </c>
      <c r="H35" s="140">
        <f t="shared" si="0"/>
        <v>28</v>
      </c>
      <c r="I35" s="140" t="str">
        <f>+IF(VLOOKUP(A35,'Estado SCI'!$A$16:$G$59,7,0)="","",VLOOKUP(A35,'Estado SCI'!$A$16:$G$59,7,0))</f>
        <v>En proceso</v>
      </c>
      <c r="J35" s="141">
        <f t="shared" si="2"/>
        <v>0.5</v>
      </c>
      <c r="K35" s="142">
        <f t="shared" si="1"/>
        <v>0.9285714285714286</v>
      </c>
    </row>
    <row r="36" spans="1:11" x14ac:dyDescent="0.25">
      <c r="A36" s="140" t="s">
        <v>181</v>
      </c>
      <c r="B36" s="140" t="str">
        <f>+VLOOKUP(A36,'Estado SCI'!$A$16:$C$59,3,0)</f>
        <v>ACTIVIDADES DE MONITOREO</v>
      </c>
      <c r="C36" s="140" t="s">
        <v>178</v>
      </c>
      <c r="D36" s="140" t="s">
        <v>34</v>
      </c>
      <c r="E36" s="140" t="s">
        <v>99</v>
      </c>
      <c r="F36" s="140" t="str">
        <f>+VLOOKUP(A36,'Estado SCI'!$A$16:$I$59,9,0)</f>
        <v>Mantenimiento del control</v>
      </c>
      <c r="G36" s="140">
        <f>+VLOOKUP(A36,'Estado SCI'!$A$16:$L$59,12,0)</f>
        <v>120.851</v>
      </c>
      <c r="H36" s="140">
        <f t="shared" si="0"/>
        <v>40</v>
      </c>
      <c r="I36" s="140" t="str">
        <f>+IF(VLOOKUP(A36,'Estado SCI'!$A$16:$G$59,7,0)="","",VLOOKUP(A36,'Estado SCI'!$A$16:$G$59,7,0))</f>
        <v>Si</v>
      </c>
      <c r="J36" s="141">
        <f t="shared" si="2"/>
        <v>1</v>
      </c>
      <c r="K36" s="142">
        <f t="shared" si="1"/>
        <v>0.7</v>
      </c>
    </row>
    <row r="37" spans="1:11" x14ac:dyDescent="0.25">
      <c r="A37" s="140" t="s">
        <v>182</v>
      </c>
      <c r="B37" s="140" t="s">
        <v>97</v>
      </c>
      <c r="C37" s="140" t="s">
        <v>178</v>
      </c>
      <c r="D37" s="140" t="s">
        <v>42</v>
      </c>
      <c r="E37" s="140" t="s">
        <v>100</v>
      </c>
      <c r="F37" s="140" t="str">
        <f>+VLOOKUP(A37,'Estado SCI'!$A$16:$I$59,9,0)</f>
        <v>Mantenimiento del control</v>
      </c>
      <c r="G37" s="140">
        <f>+VLOOKUP(A37,'Estado SCI'!$A$16:$L$59,12,0)</f>
        <v>120.85120000000001</v>
      </c>
      <c r="H37" s="140">
        <f t="shared" si="0"/>
        <v>41</v>
      </c>
      <c r="I37" s="140" t="str">
        <f>+IF(VLOOKUP(A37,'Estado SCI'!$A$16:$G$59,7,0)="","",VLOOKUP(A37,'Estado SCI'!$A$16:$G$59,7,0))</f>
        <v>Si</v>
      </c>
      <c r="J37" s="141">
        <f t="shared" si="2"/>
        <v>1</v>
      </c>
      <c r="K37" s="142">
        <f t="shared" si="1"/>
        <v>0.7</v>
      </c>
    </row>
    <row r="38" spans="1:11" x14ac:dyDescent="0.25">
      <c r="A38" s="140" t="s">
        <v>183</v>
      </c>
      <c r="B38" s="140" t="s">
        <v>97</v>
      </c>
      <c r="C38" s="140" t="s">
        <v>68</v>
      </c>
      <c r="D38" s="140" t="s">
        <v>46</v>
      </c>
      <c r="E38" s="140" t="s">
        <v>101</v>
      </c>
      <c r="F38" s="140" t="str">
        <f>+VLOOKUP(A38,'Estado SCI'!$A$16:$I$59,9,0)</f>
        <v>Oportunidad de mejora</v>
      </c>
      <c r="G38" s="140">
        <f>+VLOOKUP(A38,'Estado SCI'!$A$16:$L$59,12,0)</f>
        <v>100.85123</v>
      </c>
      <c r="H38" s="140">
        <f t="shared" si="0"/>
        <v>36</v>
      </c>
      <c r="I38" s="140" t="str">
        <f>+IF(VLOOKUP(A38,'Estado SCI'!$A$16:$G$59,7,0)="","",VLOOKUP(A38,'Estado SCI'!$A$16:$G$59,7,0))</f>
        <v>En proceso</v>
      </c>
      <c r="J38" s="141">
        <f t="shared" si="2"/>
        <v>0.5</v>
      </c>
      <c r="K38" s="142">
        <f t="shared" si="1"/>
        <v>0.7</v>
      </c>
    </row>
    <row r="39" spans="1:11" x14ac:dyDescent="0.25">
      <c r="A39" s="140" t="s">
        <v>184</v>
      </c>
      <c r="B39" s="140" t="s">
        <v>97</v>
      </c>
      <c r="C39" s="140" t="s">
        <v>68</v>
      </c>
      <c r="D39" s="140" t="s">
        <v>48</v>
      </c>
      <c r="E39" s="140" t="s">
        <v>102</v>
      </c>
      <c r="F39" s="140" t="str">
        <f>+VLOOKUP(A39,'Estado SCI'!$A$16:$I$59,9,0)</f>
        <v>Oportunidad de mejora</v>
      </c>
      <c r="G39" s="140">
        <f>+VLOOKUP(A39,'Estado SCI'!$A$16:$L$59,12,0)</f>
        <v>100.85123400000001</v>
      </c>
      <c r="H39" s="140">
        <f t="shared" si="0"/>
        <v>37</v>
      </c>
      <c r="I39" s="140" t="str">
        <f>+IF(VLOOKUP(A39,'Estado SCI'!$A$16:$G$59,7,0)="","",VLOOKUP(A39,'Estado SCI'!$A$16:$G$59,7,0))</f>
        <v>En proceso</v>
      </c>
      <c r="J39" s="141">
        <f t="shared" si="2"/>
        <v>0.5</v>
      </c>
      <c r="K39" s="142">
        <f t="shared" si="1"/>
        <v>0.7</v>
      </c>
    </row>
    <row r="40" spans="1:11" x14ac:dyDescent="0.25">
      <c r="A40" s="140" t="s">
        <v>185</v>
      </c>
      <c r="B40" s="140" t="s">
        <v>97</v>
      </c>
      <c r="C40" s="140" t="s">
        <v>68</v>
      </c>
      <c r="D40" s="140" t="s">
        <v>50</v>
      </c>
      <c r="E40" s="140" t="s">
        <v>105</v>
      </c>
      <c r="F40" s="140" t="str">
        <f>+VLOOKUP(A40,'Estado SCI'!$A$16:$I$59,9,0)</f>
        <v>Deficiencia de control</v>
      </c>
      <c r="G40" s="140">
        <f>+VLOOKUP(A40,'Estado SCI'!$A$16:$L$59,12,0)</f>
        <v>80.851234500000004</v>
      </c>
      <c r="H40" s="140">
        <f t="shared" si="0"/>
        <v>35</v>
      </c>
      <c r="I40" s="140" t="str">
        <f>+IF(VLOOKUP(A40,'Estado SCI'!$A$16:$G$59,7,0)="","",VLOOKUP(A40,'Estado SCI'!$A$16:$G$59,7,0))</f>
        <v>No</v>
      </c>
      <c r="J40" s="141">
        <f t="shared" si="2"/>
        <v>0</v>
      </c>
      <c r="K40" s="142">
        <f t="shared" si="1"/>
        <v>0.7</v>
      </c>
    </row>
    <row r="41" spans="1:11" x14ac:dyDescent="0.25">
      <c r="A41" s="140" t="s">
        <v>186</v>
      </c>
      <c r="B41" s="140" t="s">
        <v>97</v>
      </c>
      <c r="C41" s="140" t="s">
        <v>68</v>
      </c>
      <c r="D41" s="140" t="s">
        <v>34</v>
      </c>
      <c r="E41" s="140" t="s">
        <v>108</v>
      </c>
      <c r="F41" s="140" t="str">
        <f>+VLOOKUP(A41,'Estado SCI'!$A$16:$I$59,9,0)</f>
        <v>Oportunidad de mejora</v>
      </c>
      <c r="G41" s="140">
        <f>+VLOOKUP(A41,'Estado SCI'!$A$16:$L$59,12,0)</f>
        <v>100.85123455999999</v>
      </c>
      <c r="H41" s="140">
        <f t="shared" si="0"/>
        <v>38</v>
      </c>
      <c r="I41" s="140" t="str">
        <f>+IF(VLOOKUP(A41,'Estado SCI'!$A$16:$G$59,7,0)="","",VLOOKUP(A41,'Estado SCI'!$A$16:$G$59,7,0))</f>
        <v>En proceso</v>
      </c>
      <c r="J41" s="141">
        <f t="shared" si="2"/>
        <v>0.5</v>
      </c>
      <c r="K41" s="142">
        <f t="shared" si="1"/>
        <v>0.7</v>
      </c>
    </row>
    <row r="42" spans="1:11" x14ac:dyDescent="0.25">
      <c r="A42" s="140" t="s">
        <v>187</v>
      </c>
      <c r="B42" s="140" t="s">
        <v>97</v>
      </c>
      <c r="C42" s="140" t="s">
        <v>73</v>
      </c>
      <c r="D42" s="140" t="s">
        <v>37</v>
      </c>
      <c r="E42" s="140" t="s">
        <v>109</v>
      </c>
      <c r="F42" s="140" t="str">
        <f>+VLOOKUP(A42,'Estado SCI'!$A$16:$I$59,9,0)</f>
        <v>Oportunidad de mejora</v>
      </c>
      <c r="G42" s="140">
        <f>+VLOOKUP(A42,'Estado SCI'!$A$16:$L$59,12,0)</f>
        <v>100.85123456700001</v>
      </c>
      <c r="H42" s="140">
        <f t="shared" si="0"/>
        <v>39</v>
      </c>
      <c r="I42" s="140" t="str">
        <f>+IF(VLOOKUP(A42,'Estado SCI'!$A$16:$G$59,7,0)="","",VLOOKUP(A42,'Estado SCI'!$A$16:$G$59,7,0))</f>
        <v>En proceso</v>
      </c>
      <c r="J42" s="141">
        <f t="shared" si="2"/>
        <v>0.5</v>
      </c>
      <c r="K42" s="142">
        <f t="shared" si="1"/>
        <v>0.7</v>
      </c>
    </row>
    <row r="43" spans="1:11" x14ac:dyDescent="0.25">
      <c r="A43" s="140" t="s">
        <v>188</v>
      </c>
      <c r="B43" s="140" t="s">
        <v>97</v>
      </c>
      <c r="C43" s="140" t="s">
        <v>73</v>
      </c>
      <c r="D43" s="140" t="s">
        <v>40</v>
      </c>
      <c r="E43" s="140" t="s">
        <v>110</v>
      </c>
      <c r="F43" s="140" t="str">
        <f>+VLOOKUP(A43,'Estado SCI'!$A$16:$I$59,9,0)</f>
        <v>Mantenimiento del control</v>
      </c>
      <c r="G43" s="140">
        <f>+VLOOKUP(A43,'Estado SCI'!$A$16:$L$59,12,0)</f>
        <v>120.85123456780001</v>
      </c>
      <c r="H43" s="140">
        <f t="shared" si="0"/>
        <v>42</v>
      </c>
      <c r="I43" s="140" t="str">
        <f>+IF(VLOOKUP(A43,'Estado SCI'!$A$16:$G$59,7,0)="","",VLOOKUP(A43,'Estado SCI'!$A$16:$G$59,7,0))</f>
        <v>Si</v>
      </c>
      <c r="J43" s="141">
        <f t="shared" si="2"/>
        <v>1</v>
      </c>
      <c r="K43" s="142">
        <f t="shared" si="1"/>
        <v>0.7</v>
      </c>
    </row>
    <row r="44" spans="1:11" x14ac:dyDescent="0.25">
      <c r="A44" s="140" t="s">
        <v>189</v>
      </c>
      <c r="B44" s="140" t="s">
        <v>97</v>
      </c>
      <c r="C44" s="140" t="s">
        <v>73</v>
      </c>
      <c r="D44" s="140" t="s">
        <v>42</v>
      </c>
      <c r="E44" s="140" t="s">
        <v>111</v>
      </c>
      <c r="F44" s="140" t="str">
        <f>+VLOOKUP(A44,'Estado SCI'!$A$16:$I$59,9,0)</f>
        <v>Mantenimiento del control</v>
      </c>
      <c r="G44" s="140">
        <f>+VLOOKUP(A44,'Estado SCI'!$A$16:$L$59,12,0)</f>
        <v>120.85123456789</v>
      </c>
      <c r="H44" s="140">
        <f t="shared" si="0"/>
        <v>43</v>
      </c>
      <c r="I44" s="140" t="str">
        <f>+IF(VLOOKUP(A44,'Estado SCI'!$A$16:$G$59,7,0)="","",VLOOKUP(A44,'Estado SCI'!$A$16:$G$59,7,0))</f>
        <v>Si</v>
      </c>
      <c r="J44" s="141">
        <f t="shared" si="2"/>
        <v>1</v>
      </c>
      <c r="K44" s="142">
        <f t="shared" si="1"/>
        <v>0.7</v>
      </c>
    </row>
    <row r="45" spans="1:11" x14ac:dyDescent="0.25">
      <c r="A45" s="140" t="s">
        <v>190</v>
      </c>
      <c r="B45" s="140" t="s">
        <v>97</v>
      </c>
      <c r="C45" s="140" t="s">
        <v>73</v>
      </c>
      <c r="D45" s="140" t="s">
        <v>44</v>
      </c>
      <c r="E45" s="140" t="s">
        <v>112</v>
      </c>
      <c r="F45" s="140" t="str">
        <f>+VLOOKUP(A45,'Estado SCI'!$A$16:$I$59,9,0)</f>
        <v>Mantenimiento del control</v>
      </c>
      <c r="G45" s="140">
        <f>+VLOOKUP(A45,'Estado SCI'!$A$16:$L$59,12,0)</f>
        <v>120.851234567891</v>
      </c>
      <c r="H45" s="140">
        <f t="shared" si="0"/>
        <v>44</v>
      </c>
      <c r="I45" s="140" t="str">
        <f>+IF(VLOOKUP(A45,'Estado SCI'!$A$16:$G$59,7,0)="","",VLOOKUP(A45,'Estado SCI'!$A$16:$G$59,7,0))</f>
        <v>Si</v>
      </c>
      <c r="J45" s="141">
        <f t="shared" si="2"/>
        <v>1</v>
      </c>
      <c r="K45" s="142">
        <f t="shared" si="1"/>
        <v>0.7</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Estado SCI</vt:lpstr>
      <vt:lpstr>Análisis Resultados</vt:lpstr>
      <vt:lpstr>Conclusión</vt:lpstr>
      <vt:lpstr>Hoja1</vt:lpstr>
      <vt:lpstr>Conclusión!Títulos_a_imprimir</vt:lpstr>
      <vt:lpstr>'Estado SCI'!Títulos_a_imprimir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Maria Enidia Rios Naranjo</cp:lastModifiedBy>
  <cp:revision/>
  <cp:lastPrinted>2025-04-07T17:17:15Z</cp:lastPrinted>
  <dcterms:created xsi:type="dcterms:W3CDTF">2020-04-28T13:58:09Z</dcterms:created>
  <dcterms:modified xsi:type="dcterms:W3CDTF">2026-04-15T10:22:44Z</dcterms:modified>
  <cp:category/>
  <cp:contentStatus/>
</cp:coreProperties>
</file>